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8" windowWidth="13500" windowHeight="1062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<sst xmlns="http://schemas.openxmlformats.org/spreadsheetml/2006/main" count="166" uniqueCount="113">
  <si>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</si>
  <si>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</si>
  <si>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</si>
  <si>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</si>
  <si>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</si>
  <si>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</si>
  <si>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</si>
  <si>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</si>
  <si>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</si>
  <si>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</si>
  <si>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</si>
  <si>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</si>
  <si>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</si>
  <si>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</si>
  <si>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</si>
  <si>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</si>
  <si>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</si>
  <si>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</si>
  <si>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</si>
  <si>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</si>
  <si>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</si>
  <si>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</si>
  <si>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</si>
  <si>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</si>
  <si>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</si>
  <si>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</si>
  <si>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</si>
  <si>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</si>
  <si>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</si>
  <si>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</si>
  <si>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</si>
  <si>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</si>
  <si>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</si>
  <si>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</si>
  <si>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</si>
  <si>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</si>
  <si>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</si>
  <si>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</si>
  <si>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</si>
  <si>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</si>
  <si>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</si>
  <si>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</si>
  <si>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</si>
  <si>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</si>
  <si>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</si>
  <si>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</si>
  <si>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</si>
  <si>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</si>
  <si>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</si>
  <si>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</si>
  <si>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</si>
  <si>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</si>
  <si>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</si>
  <si>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</si>
  <si>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</si>
  <si>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</si>
  <si>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</si>
  <si>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</si>
  <si>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</si>
  <si>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</si>
  <si>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</si>
  <si>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</si>
  <si>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</si>
  <si>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</si>
  <si>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</si>
  <si>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</si>
  <si>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</si>
  <si>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</si>
  <si>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</si>
  <si>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</si>
  <si>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</si>
  <si>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</si>
  <si>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</si>
  <si>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</si>
  <si>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</si>
  <si>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</si>
  <si>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</si>
  <si>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</si>
  <si>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</si>
  <si>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</si>
  <si>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</si>
  <si>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</si>
  <si>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</si>
  <si>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</si>
  <si>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</si>
  <si>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</si>
  <si>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</si>
  <si>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</si>
  <si>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</si>
  <si>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</si>
  <si>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</si>
  <si>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</si>
  <si>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</si>
  <si>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</si>
  <si>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</si>
  <si>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</si>
  <si>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</si>
  <si>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</si>
  <si>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</si>
  <si>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</si>
  <si>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</si>
  <si>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</si>
  <si>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</si>
  <si>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</si>
  <si>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</si>
  <si>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</si>
  <si>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</si>
  <si>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</si>
  <si>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</si>
  <si>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8 місяців, тис.грн.</t>
  </si>
  <si>
    <t>Відсоток виконання  плану 8 місяців</t>
  </si>
  <si>
    <t>Відхилення від  плану 8 місяців, тис.грн.</t>
  </si>
  <si>
    <t>Аналіз використання коштів загального фонду міського бюджету станом на 17.08.2018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</si>
</sst>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37" fillId="36" borderId="0" xfId="0" applyFont="1" applyFill="1" applyAlignment="1">
      <alignment/>
    </xf>
    <xf numFmtId="0" fontId="7" fillId="36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"/>
          <c:y val="0.10975"/>
          <c:w val="0.85325"/>
          <c:h val="0.64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202838.7</c:v>
                </c:pt>
                <c:pt idx="1">
                  <c:v>189953.3</c:v>
                </c:pt>
                <c:pt idx="2">
                  <c:v>2776.4</c:v>
                </c:pt>
                <c:pt idx="3">
                  <c:v>10109.000000000024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130967.79999999994</c:v>
                </c:pt>
                <c:pt idx="1">
                  <c:v>123775.80999999998</c:v>
                </c:pt>
                <c:pt idx="2">
                  <c:v>1389.6000000000001</c:v>
                </c:pt>
                <c:pt idx="3">
                  <c:v>5802.389999999961</c:v>
                </c:pt>
              </c:numCache>
            </c:numRef>
          </c:val>
          <c:shape val="box"/>
        </c:ser>
        <c:shape val="box"/>
        <c:axId val="3539857"/>
        <c:axId val="31858714"/>
      </c:bar3DChart>
      <c:catAx>
        <c:axId val="353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858714"/>
        <c:crosses val="autoZero"/>
        <c:auto val="1"/>
        <c:lblOffset val="100"/>
        <c:tickLblSkip val="1"/>
        <c:noMultiLvlLbl val="0"/>
      </c:catAx>
      <c:valAx>
        <c:axId val="31858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98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27"/>
          <c:w val="0.28775"/>
          <c:h val="0.0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045"/>
          <c:w val="0.8435"/>
          <c:h val="0.70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824987.8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23960.70000000001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489795.10000000003</c:v>
                </c:pt>
                <c:pt idx="1">
                  <c:v>165555.3</c:v>
                </c:pt>
                <c:pt idx="2">
                  <c:v>400144.5000000002</c:v>
                </c:pt>
                <c:pt idx="3">
                  <c:v>21.3</c:v>
                </c:pt>
                <c:pt idx="4">
                  <c:v>18780.199999999997</c:v>
                </c:pt>
                <c:pt idx="5">
                  <c:v>52165.999999999985</c:v>
                </c:pt>
                <c:pt idx="6">
                  <c:v>7567.499999999999</c:v>
                </c:pt>
                <c:pt idx="7">
                  <c:v>11115.599999999875</c:v>
                </c:pt>
              </c:numCache>
            </c:numRef>
          </c:val>
          <c:shape val="box"/>
        </c:ser>
        <c:shape val="box"/>
        <c:axId val="18292971"/>
        <c:axId val="30419012"/>
      </c:bar3DChart>
      <c:catAx>
        <c:axId val="18292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419012"/>
        <c:crosses val="autoZero"/>
        <c:auto val="1"/>
        <c:lblOffset val="100"/>
        <c:tickLblSkip val="1"/>
        <c:noMultiLvlLbl val="0"/>
      </c:catAx>
      <c:valAx>
        <c:axId val="304190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929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35"/>
          <c:w val="0.3027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25"/>
          <c:w val="0.929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425087.39999999997</c:v>
                </c:pt>
                <c:pt idx="1">
                  <c:v>227121.9</c:v>
                </c:pt>
                <c:pt idx="2">
                  <c:v>425087.39999999997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245264</c:v>
                </c:pt>
                <c:pt idx="1">
                  <c:v>158813.60000000003</c:v>
                </c:pt>
                <c:pt idx="2">
                  <c:v>245264</c:v>
                </c:pt>
              </c:numCache>
            </c:numRef>
          </c:val>
          <c:shape val="box"/>
        </c:ser>
        <c:shape val="box"/>
        <c:axId val="5335653"/>
        <c:axId val="48020878"/>
      </c:bar3DChart>
      <c:catAx>
        <c:axId val="533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20878"/>
        <c:crosses val="autoZero"/>
        <c:auto val="1"/>
        <c:lblOffset val="100"/>
        <c:tickLblSkip val="1"/>
        <c:noMultiLvlLbl val="0"/>
      </c:catAx>
      <c:valAx>
        <c:axId val="480208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56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35"/>
          <c:y val="0.9185"/>
          <c:w val="0.270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225"/>
          <c:w val="0.87025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24787.899999999998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8919.699999999997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13791.699999999999</c:v>
                </c:pt>
                <c:pt idx="1">
                  <c:v>7858.600000000001</c:v>
                </c:pt>
                <c:pt idx="2">
                  <c:v>59.6</c:v>
                </c:pt>
                <c:pt idx="3">
                  <c:v>1003.3999999999997</c:v>
                </c:pt>
                <c:pt idx="4">
                  <c:v>328.69999999999993</c:v>
                </c:pt>
                <c:pt idx="5">
                  <c:v>34.2</c:v>
                </c:pt>
                <c:pt idx="6">
                  <c:v>4507.199999999998</c:v>
                </c:pt>
              </c:numCache>
            </c:numRef>
          </c:val>
          <c:shape val="box"/>
        </c:ser>
        <c:shape val="box"/>
        <c:axId val="29534719"/>
        <c:axId val="64485880"/>
      </c:bar3DChart>
      <c:catAx>
        <c:axId val="29534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485880"/>
        <c:crosses val="autoZero"/>
        <c:auto val="1"/>
        <c:lblOffset val="100"/>
        <c:tickLblSkip val="1"/>
        <c:noMultiLvlLbl val="0"/>
      </c:catAx>
      <c:valAx>
        <c:axId val="64485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347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2275"/>
          <c:w val="0.285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2425"/>
          <c:w val="0.863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37159.4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13514.6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19389.399999999998</c:v>
                </c:pt>
                <c:pt idx="1">
                  <c:v>11453.1</c:v>
                </c:pt>
                <c:pt idx="3">
                  <c:v>512.9</c:v>
                </c:pt>
                <c:pt idx="4">
                  <c:v>513.5000000000001</c:v>
                </c:pt>
                <c:pt idx="5">
                  <c:v>880</c:v>
                </c:pt>
                <c:pt idx="6">
                  <c:v>6029.899999999998</c:v>
                </c:pt>
              </c:numCache>
            </c:numRef>
          </c:val>
          <c:shape val="box"/>
        </c:ser>
        <c:shape val="box"/>
        <c:axId val="43502009"/>
        <c:axId val="55973762"/>
      </c:bar3DChart>
      <c:catAx>
        <c:axId val="43502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973762"/>
        <c:crosses val="autoZero"/>
        <c:auto val="1"/>
        <c:lblOffset val="100"/>
        <c:tickLblSkip val="2"/>
        <c:noMultiLvlLbl val="0"/>
      </c:catAx>
      <c:valAx>
        <c:axId val="55973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020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9235"/>
          <c:w val="0.293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0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1675"/>
          <c:w val="0.8775"/>
          <c:h val="0.68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3109.3</c:v>
                </c:pt>
                <c:pt idx="1">
                  <c:v>1845.8000000000004</c:v>
                </c:pt>
                <c:pt idx="2">
                  <c:v>322</c:v>
                </c:pt>
                <c:pt idx="3">
                  <c:v>224.39999999999992</c:v>
                </c:pt>
                <c:pt idx="4">
                  <c:v>419.5</c:v>
                </c:pt>
                <c:pt idx="5">
                  <c:v>297.5999999999999</c:v>
                </c:pt>
              </c:numCache>
            </c:numRef>
          </c:val>
          <c:shape val="box"/>
        </c:ser>
        <c:shape val="box"/>
        <c:axId val="34001811"/>
        <c:axId val="37580844"/>
      </c:bar3DChart>
      <c:catAx>
        <c:axId val="3400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80844"/>
        <c:crosses val="autoZero"/>
        <c:auto val="1"/>
        <c:lblOffset val="100"/>
        <c:tickLblSkip val="1"/>
        <c:noMultiLvlLbl val="0"/>
      </c:catAx>
      <c:valAx>
        <c:axId val="375808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018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725"/>
          <c:w val="0.29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25"/>
          <c:y val="0.104"/>
          <c:w val="0.85275"/>
          <c:h val="0.71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24824.799999999996</c:v>
                </c:pt>
              </c:numCache>
            </c:numRef>
          </c:val>
          <c:shape val="box"/>
        </c:ser>
        <c:shape val="box"/>
        <c:axId val="2683277"/>
        <c:axId val="24149494"/>
      </c:bar3DChart>
      <c:catAx>
        <c:axId val="2683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149494"/>
        <c:crosses val="autoZero"/>
        <c:auto val="1"/>
        <c:lblOffset val="100"/>
        <c:tickLblSkip val="1"/>
        <c:noMultiLvlLbl val="0"/>
      </c:catAx>
      <c:valAx>
        <c:axId val="241494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32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25"/>
          <c:y val="0.92375"/>
          <c:w val="0.2977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675"/>
          <c:w val="0.85125"/>
          <c:h val="0.577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824987.8</c:v>
                </c:pt>
                <c:pt idx="1">
                  <c:v>425087.39999999997</c:v>
                </c:pt>
                <c:pt idx="2">
                  <c:v>24787.899999999998</c:v>
                </c:pt>
                <c:pt idx="3">
                  <c:v>37159.4</c:v>
                </c:pt>
                <c:pt idx="4">
                  <c:v>9596.6</c:v>
                </c:pt>
                <c:pt idx="5">
                  <c:v>202838.7</c:v>
                </c:pt>
                <c:pt idx="6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489795.10000000003</c:v>
                </c:pt>
                <c:pt idx="1">
                  <c:v>245264</c:v>
                </c:pt>
                <c:pt idx="2">
                  <c:v>13791.699999999999</c:v>
                </c:pt>
                <c:pt idx="3">
                  <c:v>19389.399999999998</c:v>
                </c:pt>
                <c:pt idx="4">
                  <c:v>3109.3</c:v>
                </c:pt>
                <c:pt idx="5">
                  <c:v>130967.79999999994</c:v>
                </c:pt>
                <c:pt idx="6">
                  <c:v>24824.799999999996</c:v>
                </c:pt>
              </c:numCache>
            </c:numRef>
          </c:val>
          <c:shape val="box"/>
        </c:ser>
        <c:shape val="box"/>
        <c:axId val="16018855"/>
        <c:axId val="9951968"/>
      </c:bar3DChart>
      <c:catAx>
        <c:axId val="16018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951968"/>
        <c:crosses val="autoZero"/>
        <c:auto val="1"/>
        <c:lblOffset val="100"/>
        <c:tickLblSkip val="1"/>
        <c:noMultiLvlLbl val="0"/>
      </c:catAx>
      <c:valAx>
        <c:axId val="9951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188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82"/>
          <c:w val="0.290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3275"/>
          <c:w val="0.8415"/>
          <c:h val="0.4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45948.3</c:v>
                </c:pt>
                <c:pt idx="3">
                  <c:v>30229.899999999998</c:v>
                </c:pt>
                <c:pt idx="4">
                  <c:v>113.10000000000001</c:v>
                </c:pt>
                <c:pt idx="5">
                  <c:v>1083299.2999999993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553781.8099999999</c:v>
                </c:pt>
                <c:pt idx="1">
                  <c:v>63884.39999999998</c:v>
                </c:pt>
                <c:pt idx="2">
                  <c:v>19716.199999999997</c:v>
                </c:pt>
                <c:pt idx="3">
                  <c:v>16371.100000000004</c:v>
                </c:pt>
                <c:pt idx="4">
                  <c:v>21.3</c:v>
                </c:pt>
                <c:pt idx="5">
                  <c:v>544016.2900000002</c:v>
                </c:pt>
              </c:numCache>
            </c:numRef>
          </c:val>
          <c:shape val="box"/>
        </c:ser>
        <c:shape val="box"/>
        <c:axId val="22458849"/>
        <c:axId val="803050"/>
      </c:bar3DChart>
      <c:catAx>
        <c:axId val="22458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03050"/>
        <c:crosses val="autoZero"/>
        <c:auto val="1"/>
        <c:lblOffset val="100"/>
        <c:tickLblSkip val="1"/>
        <c:noMultiLvlLbl val="0"/>
      </c:catAx>
      <c:valAx>
        <c:axId val="803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588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"/>
          <c:y val="0.9125"/>
          <c:w val="0.294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106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30">
      <c r="A1" s="173" t="s">
        <v>112</v>
      </c>
      <c r="B1" s="173"/>
      <c r="C1" s="173"/>
      <c r="D1" s="173"/>
      <c r="E1" s="173"/>
      <c r="F1" s="173"/>
      <c r="G1" s="173"/>
      <c r="H1" s="173"/>
      <c r="I1" s="173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7" t="s">
        <v>40</v>
      </c>
      <c r="B3" s="180" t="s">
        <v>109</v>
      </c>
      <c r="C3" s="174" t="s">
        <v>106</v>
      </c>
      <c r="D3" s="174" t="s">
        <v>22</v>
      </c>
      <c r="E3" s="174" t="s">
        <v>21</v>
      </c>
      <c r="F3" s="174" t="s">
        <v>110</v>
      </c>
      <c r="G3" s="174" t="s">
        <v>107</v>
      </c>
      <c r="H3" s="174" t="s">
        <v>111</v>
      </c>
      <c r="I3" s="174" t="s">
        <v>108</v>
      </c>
    </row>
    <row r="4" spans="1:9" ht="24.75" customHeight="1">
      <c r="A4" s="178"/>
      <c r="B4" s="181"/>
      <c r="C4" s="175"/>
      <c r="D4" s="175"/>
      <c r="E4" s="175"/>
      <c r="F4" s="175"/>
      <c r="G4" s="175"/>
      <c r="H4" s="175"/>
      <c r="I4" s="175"/>
    </row>
    <row r="5" spans="1:10" ht="39" customHeight="1" thickBot="1">
      <c r="A5" s="179"/>
      <c r="B5" s="182"/>
      <c r="C5" s="176"/>
      <c r="D5" s="176"/>
      <c r="E5" s="176"/>
      <c r="F5" s="176"/>
      <c r="G5" s="176"/>
      <c r="H5" s="176"/>
      <c r="I5" s="176"/>
      <c r="J5" s="94"/>
    </row>
    <row r="6" spans="1:11" ht="18" thickBot="1">
      <c r="A6" s="20" t="s">
        <v>26</v>
      </c>
      <c r="B6" s="39">
        <v>548666.3</v>
      </c>
      <c r="C6" s="40">
        <f>826775+13431.5+510-13431.5+16-2334+20.8</f>
        <v>824987.8</v>
      </c>
      <c r="D6" s="41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+241.5+564.1+0.3+409.7+6351.3+3426.1+7.2+332.8+139.8+550.1</f>
        <v>489795.10000000003</v>
      </c>
      <c r="E6" s="3">
        <f>D6/D154*100</f>
        <v>40.89152941610603</v>
      </c>
      <c r="F6" s="3">
        <f>D6/B6*100</f>
        <v>89.2701264867188</v>
      </c>
      <c r="G6" s="3">
        <f aca="true" t="shared" si="0" ref="G6:G43">D6/C6*100</f>
        <v>59.36998098638549</v>
      </c>
      <c r="H6" s="41">
        <f>B6-D6</f>
        <v>58871.20000000001</v>
      </c>
      <c r="I6" s="41">
        <f aca="true" t="shared" si="1" ref="I6:I43">C6-D6</f>
        <v>335192.7</v>
      </c>
      <c r="J6" s="168"/>
      <c r="K6" s="154"/>
    </row>
    <row r="7" spans="1:12" s="95" customFormat="1" ht="18">
      <c r="A7" s="141" t="s">
        <v>81</v>
      </c>
      <c r="B7" s="142">
        <v>181800.7</v>
      </c>
      <c r="C7" s="143">
        <v>262517.6</v>
      </c>
      <c r="D7" s="144">
        <f>8282.7+10875.2+9132.6+9963.6+4.3+9215.1+9968.6+9459.9+11450.4+9572.3+23759.4-0.1+3644+36528.9+8511.9+179.9+764+816.4+0.1+3426.1</f>
        <v>165555.3</v>
      </c>
      <c r="E7" s="145">
        <f>D7/D6*100</f>
        <v>33.80093022572092</v>
      </c>
      <c r="F7" s="145">
        <f>D7/B7*100</f>
        <v>91.06417082002434</v>
      </c>
      <c r="G7" s="145">
        <f>D7/C7*100</f>
        <v>63.064457392571015</v>
      </c>
      <c r="H7" s="144">
        <f>B7-D7</f>
        <v>16245.400000000023</v>
      </c>
      <c r="I7" s="144">
        <f t="shared" si="1"/>
        <v>96962.29999999999</v>
      </c>
      <c r="J7" s="170"/>
      <c r="K7" s="154"/>
      <c r="L7" s="140"/>
    </row>
    <row r="8" spans="1:12" s="94" customFormat="1" ht="17.25">
      <c r="A8" s="103" t="s">
        <v>3</v>
      </c>
      <c r="B8" s="127">
        <v>440014.4</v>
      </c>
      <c r="C8" s="128">
        <f>649221.9+8415.5-2000</f>
        <v>655637.4</v>
      </c>
      <c r="D8" s="105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</f>
        <v>400144.5000000002</v>
      </c>
      <c r="E8" s="107">
        <f>D8/D6*100</f>
        <v>81.69630525091006</v>
      </c>
      <c r="F8" s="107">
        <f>D8/B8*100</f>
        <v>90.93895563417928</v>
      </c>
      <c r="G8" s="107">
        <f t="shared" si="0"/>
        <v>61.03137191380482</v>
      </c>
      <c r="H8" s="105">
        <f>B8-D8</f>
        <v>39869.89999999985</v>
      </c>
      <c r="I8" s="105">
        <f t="shared" si="1"/>
        <v>255492.89999999985</v>
      </c>
      <c r="J8" s="168"/>
      <c r="K8" s="154"/>
      <c r="L8" s="140"/>
    </row>
    <row r="9" spans="1:12" s="94" customFormat="1" ht="17.25">
      <c r="A9" s="103" t="s">
        <v>2</v>
      </c>
      <c r="B9" s="127">
        <v>30.8</v>
      </c>
      <c r="C9" s="128">
        <v>97.7</v>
      </c>
      <c r="D9" s="105">
        <f>3.4+5.4+0.8+4.1+3.6+0.3+0.3+3.4</f>
        <v>21.3</v>
      </c>
      <c r="E9" s="129">
        <f>D9/D6*100</f>
        <v>0.004348757266048599</v>
      </c>
      <c r="F9" s="107">
        <f>D9/B9*100</f>
        <v>69.15584415584416</v>
      </c>
      <c r="G9" s="107">
        <f t="shared" si="0"/>
        <v>21.8014329580348</v>
      </c>
      <c r="H9" s="105">
        <f aca="true" t="shared" si="2" ref="H9:H43">B9-D9</f>
        <v>9.5</v>
      </c>
      <c r="I9" s="105">
        <f t="shared" si="1"/>
        <v>76.4</v>
      </c>
      <c r="J9" s="168"/>
      <c r="K9" s="154"/>
      <c r="L9" s="140"/>
    </row>
    <row r="10" spans="1:12" s="94" customFormat="1" ht="17.25">
      <c r="A10" s="103" t="s">
        <v>1</v>
      </c>
      <c r="B10" s="127">
        <v>27212.5</v>
      </c>
      <c r="C10" s="128">
        <f>52816.3-8415.5-19.2</f>
        <v>44381.600000000006</v>
      </c>
      <c r="D10" s="146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</f>
        <v>18780.199999999997</v>
      </c>
      <c r="E10" s="107">
        <f>D10/D6*100</f>
        <v>3.834297239804971</v>
      </c>
      <c r="F10" s="107">
        <f aca="true" t="shared" si="3" ref="F10:F41">D10/B10*100</f>
        <v>69.01313734497013</v>
      </c>
      <c r="G10" s="107">
        <f t="shared" si="0"/>
        <v>42.31528381130918</v>
      </c>
      <c r="H10" s="105">
        <f t="shared" si="2"/>
        <v>8432.300000000003</v>
      </c>
      <c r="I10" s="105">
        <f t="shared" si="1"/>
        <v>25601.40000000001</v>
      </c>
      <c r="J10" s="168"/>
      <c r="K10" s="154"/>
      <c r="L10" s="140"/>
    </row>
    <row r="11" spans="1:12" s="94" customFormat="1" ht="17.25">
      <c r="A11" s="103" t="s">
        <v>0</v>
      </c>
      <c r="B11" s="127">
        <v>53836.4</v>
      </c>
      <c r="C11" s="128">
        <v>88172.4</v>
      </c>
      <c r="D11" s="147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</f>
        <v>52165.999999999985</v>
      </c>
      <c r="E11" s="107">
        <f>D11/D6*100</f>
        <v>10.650576128670945</v>
      </c>
      <c r="F11" s="107">
        <f t="shared" si="3"/>
        <v>96.89726653342345</v>
      </c>
      <c r="G11" s="107">
        <f t="shared" si="0"/>
        <v>59.16363850819529</v>
      </c>
      <c r="H11" s="105">
        <f t="shared" si="2"/>
        <v>1670.400000000016</v>
      </c>
      <c r="I11" s="105">
        <f t="shared" si="1"/>
        <v>36006.40000000001</v>
      </c>
      <c r="J11" s="168"/>
      <c r="K11" s="154"/>
      <c r="L11" s="140"/>
    </row>
    <row r="12" spans="1:12" s="94" customFormat="1" ht="17.25">
      <c r="A12" s="103" t="s">
        <v>14</v>
      </c>
      <c r="B12" s="127">
        <v>8087.4</v>
      </c>
      <c r="C12" s="128">
        <v>12738</v>
      </c>
      <c r="D12" s="105">
        <f>874.5+251.8+346.3+159.7+538.5+10.6+57+168.9+31.7+165.3+10.6+439.5+199.1+10.6+10.6+19+325.9+10.6+160.6+453.5-0.1+21.1+21.1+563.9+19+160.9+282.3+19+21.1+523.5+168.9+208.4+214.2+11+120.2+238.1+77.3+88.4+143.6+33.1+97.5+90.7+11+91.4+97.6</f>
        <v>7567.499999999999</v>
      </c>
      <c r="E12" s="107">
        <f>D12/D6*100</f>
        <v>1.5450338314940264</v>
      </c>
      <c r="F12" s="107">
        <f t="shared" si="3"/>
        <v>93.57148156391423</v>
      </c>
      <c r="G12" s="107">
        <f t="shared" si="0"/>
        <v>59.40885539331134</v>
      </c>
      <c r="H12" s="105">
        <f>B12-D12</f>
        <v>519.9000000000005</v>
      </c>
      <c r="I12" s="105">
        <f t="shared" si="1"/>
        <v>5170.500000000001</v>
      </c>
      <c r="J12" s="168"/>
      <c r="K12" s="154"/>
      <c r="L12" s="140"/>
    </row>
    <row r="13" spans="1:12" s="94" customFormat="1" ht="18" thickBot="1">
      <c r="A13" s="103" t="s">
        <v>27</v>
      </c>
      <c r="B13" s="128">
        <f>B6-B8-B9-B10-B11-B12</f>
        <v>19484.800000000017</v>
      </c>
      <c r="C13" s="128">
        <f>C6-C8-C9-C10-C11-C12</f>
        <v>23960.70000000001</v>
      </c>
      <c r="D13" s="128">
        <f>D6-D8-D9-D10-D11-D12</f>
        <v>11115.599999999875</v>
      </c>
      <c r="E13" s="107">
        <f>D13/D6*100</f>
        <v>2.269438791853956</v>
      </c>
      <c r="F13" s="107">
        <f t="shared" si="3"/>
        <v>57.04754475283228</v>
      </c>
      <c r="G13" s="107">
        <f t="shared" si="0"/>
        <v>46.3909652055235</v>
      </c>
      <c r="H13" s="105">
        <f t="shared" si="2"/>
        <v>8369.200000000143</v>
      </c>
      <c r="I13" s="105">
        <f t="shared" si="1"/>
        <v>12845.100000000137</v>
      </c>
      <c r="J13" s="168"/>
      <c r="K13" s="154"/>
      <c r="L13" s="140"/>
    </row>
    <row r="14" spans="1:13" s="32" customFormat="1" ht="18.75" customHeight="1" hidden="1">
      <c r="A14" s="75" t="s">
        <v>61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J14" s="170"/>
      <c r="K14" s="11"/>
      <c r="L14" s="11"/>
      <c r="M14" s="11"/>
    </row>
    <row r="15" spans="1:13" s="32" customFormat="1" ht="18.75" customHeight="1" hidden="1">
      <c r="A15" s="75" t="s">
        <v>58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J15" s="170"/>
      <c r="K15" s="11"/>
      <c r="L15" s="11"/>
      <c r="M15" s="11"/>
    </row>
    <row r="16" spans="1:13" s="32" customFormat="1" ht="18" hidden="1" thickBot="1">
      <c r="A16" s="75" t="s">
        <v>59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J16" s="170"/>
      <c r="K16" s="11"/>
      <c r="L16" s="11"/>
      <c r="M16" s="11"/>
    </row>
    <row r="17" spans="1:13" s="32" customFormat="1" ht="18" hidden="1" thickBot="1">
      <c r="A17" s="75" t="s">
        <v>60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J17" s="170"/>
      <c r="K17" s="11"/>
      <c r="L17" s="11"/>
      <c r="M17" s="11"/>
    </row>
    <row r="18" spans="1:11" ht="18" thickBot="1">
      <c r="A18" s="20" t="s">
        <v>19</v>
      </c>
      <c r="B18" s="39">
        <v>271713.4</v>
      </c>
      <c r="C18" s="40">
        <f>424151.5+750.3+185.6</f>
        <v>425087.39999999997</v>
      </c>
      <c r="D18" s="41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+1214.5+919.1+586.1+8962.4+1.3+292.6+401</f>
        <v>245264</v>
      </c>
      <c r="E18" s="3">
        <f>D18/D154*100</f>
        <v>20.476358523619016</v>
      </c>
      <c r="F18" s="3">
        <f>D18/B18*100</f>
        <v>90.26569907851434</v>
      </c>
      <c r="G18" s="3">
        <f t="shared" si="0"/>
        <v>57.69731118824035</v>
      </c>
      <c r="H18" s="41">
        <f>B18-D18</f>
        <v>26449.400000000023</v>
      </c>
      <c r="I18" s="41">
        <f t="shared" si="1"/>
        <v>179823.39999999997</v>
      </c>
      <c r="J18" s="168"/>
      <c r="K18" s="154"/>
    </row>
    <row r="19" spans="1:13" s="95" customFormat="1" ht="18">
      <c r="A19" s="141" t="s">
        <v>82</v>
      </c>
      <c r="B19" s="142">
        <v>164342.7</v>
      </c>
      <c r="C19" s="143">
        <f>226186+750.3+185.6</f>
        <v>227121.9</v>
      </c>
      <c r="D19" s="144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</f>
        <v>158813.60000000003</v>
      </c>
      <c r="E19" s="145">
        <f>D19/D18*100</f>
        <v>64.75210385543741</v>
      </c>
      <c r="F19" s="145">
        <f t="shared" si="3"/>
        <v>96.63562786786393</v>
      </c>
      <c r="G19" s="145">
        <f t="shared" si="0"/>
        <v>69.92438862126463</v>
      </c>
      <c r="H19" s="144">
        <f t="shared" si="2"/>
        <v>5529.099999999977</v>
      </c>
      <c r="I19" s="144">
        <f t="shared" si="1"/>
        <v>68308.29999999996</v>
      </c>
      <c r="J19" s="170"/>
      <c r="K19" s="154"/>
      <c r="L19" s="94"/>
      <c r="M19" s="94"/>
    </row>
    <row r="20" spans="1:11" s="94" customFormat="1" ht="17.25" hidden="1">
      <c r="A20" s="103" t="s">
        <v>5</v>
      </c>
      <c r="B20" s="127"/>
      <c r="C20" s="128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J20" s="168"/>
      <c r="K20" s="154">
        <f>C20-B20</f>
        <v>0</v>
      </c>
    </row>
    <row r="21" spans="1:11" s="94" customFormat="1" ht="17.25" hidden="1">
      <c r="A21" s="103" t="s">
        <v>2</v>
      </c>
      <c r="B21" s="127"/>
      <c r="C21" s="128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J21" s="168"/>
      <c r="K21" s="154">
        <f>C21-B21</f>
        <v>0</v>
      </c>
    </row>
    <row r="22" spans="1:11" s="94" customFormat="1" ht="17.25" hidden="1">
      <c r="A22" s="103" t="s">
        <v>1</v>
      </c>
      <c r="B22" s="127"/>
      <c r="C22" s="128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J22" s="168"/>
      <c r="K22" s="154">
        <f>C22-B22</f>
        <v>0</v>
      </c>
    </row>
    <row r="23" spans="1:11" s="94" customFormat="1" ht="17.25" hidden="1">
      <c r="A23" s="103" t="s">
        <v>0</v>
      </c>
      <c r="B23" s="127"/>
      <c r="C23" s="128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J23" s="168"/>
      <c r="K23" s="154">
        <f>C23-B23</f>
        <v>0</v>
      </c>
    </row>
    <row r="24" spans="1:11" s="94" customFormat="1" ht="17.25" hidden="1">
      <c r="A24" s="103" t="s">
        <v>14</v>
      </c>
      <c r="B24" s="127"/>
      <c r="C24" s="128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J24" s="168"/>
      <c r="K24" s="154">
        <f>C24-B24</f>
        <v>0</v>
      </c>
    </row>
    <row r="25" spans="1:11" s="94" customFormat="1" ht="18" thickBot="1">
      <c r="A25" s="103" t="s">
        <v>27</v>
      </c>
      <c r="B25" s="128">
        <f>B18</f>
        <v>271713.4</v>
      </c>
      <c r="C25" s="128">
        <f>C18</f>
        <v>425087.39999999997</v>
      </c>
      <c r="D25" s="128">
        <f>D18</f>
        <v>245264</v>
      </c>
      <c r="E25" s="107">
        <f>D25/D18*100</f>
        <v>100</v>
      </c>
      <c r="F25" s="107">
        <f t="shared" si="3"/>
        <v>90.26569907851434</v>
      </c>
      <c r="G25" s="107">
        <f t="shared" si="0"/>
        <v>57.69731118824035</v>
      </c>
      <c r="H25" s="105">
        <f t="shared" si="2"/>
        <v>26449.400000000023</v>
      </c>
      <c r="I25" s="105">
        <f t="shared" si="1"/>
        <v>179823.39999999997</v>
      </c>
      <c r="J25" s="168"/>
      <c r="K25" s="154"/>
    </row>
    <row r="26" spans="1:11" ht="54" hidden="1" thickBot="1">
      <c r="A26" s="75" t="s">
        <v>69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J26" s="168"/>
      <c r="K26" s="154">
        <f aca="true" t="shared" si="4" ref="K26:K32">C26-B26</f>
        <v>0</v>
      </c>
    </row>
    <row r="27" spans="1:11" ht="36.75" customHeight="1" hidden="1">
      <c r="A27" s="75" t="s">
        <v>70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J27" s="168"/>
      <c r="K27" s="154">
        <f t="shared" si="4"/>
        <v>0</v>
      </c>
    </row>
    <row r="28" spans="1:11" ht="18" hidden="1" thickBot="1">
      <c r="A28" s="75" t="s">
        <v>71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J28" s="168"/>
      <c r="K28" s="154">
        <f t="shared" si="4"/>
        <v>0</v>
      </c>
    </row>
    <row r="29" spans="1:11" ht="39.75" customHeight="1" hidden="1">
      <c r="A29" s="75" t="s">
        <v>72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J29" s="168"/>
      <c r="K29" s="154">
        <f t="shared" si="4"/>
        <v>0</v>
      </c>
    </row>
    <row r="30" spans="1:11" ht="37.5" customHeight="1" hidden="1">
      <c r="A30" s="75" t="s">
        <v>73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J30" s="168"/>
      <c r="K30" s="154">
        <f t="shared" si="4"/>
        <v>0</v>
      </c>
    </row>
    <row r="31" spans="1:11" ht="36" customHeight="1" hidden="1">
      <c r="A31" s="75" t="s">
        <v>74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J31" s="168"/>
      <c r="K31" s="154">
        <f t="shared" si="4"/>
        <v>0</v>
      </c>
    </row>
    <row r="32" spans="1:11" ht="18" hidden="1" thickBot="1">
      <c r="A32" s="75" t="s">
        <v>75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J32" s="168"/>
      <c r="K32" s="154">
        <f t="shared" si="4"/>
        <v>0</v>
      </c>
    </row>
    <row r="33" spans="1:11" ht="18" thickBot="1">
      <c r="A33" s="20" t="s">
        <v>17</v>
      </c>
      <c r="B33" s="39">
        <v>15996.6</v>
      </c>
      <c r="C33" s="40">
        <f>24805.1-17.2</f>
        <v>24787.899999999998</v>
      </c>
      <c r="D33" s="43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</f>
        <v>13791.699999999999</v>
      </c>
      <c r="E33" s="3">
        <f>D33/D154*100</f>
        <v>1.1514278241005462</v>
      </c>
      <c r="F33" s="3">
        <f>D33/B33*100</f>
        <v>86.21644599477388</v>
      </c>
      <c r="G33" s="3">
        <f t="shared" si="0"/>
        <v>55.638839917863145</v>
      </c>
      <c r="H33" s="41">
        <f t="shared" si="2"/>
        <v>2204.9000000000015</v>
      </c>
      <c r="I33" s="41">
        <f t="shared" si="1"/>
        <v>10996.199999999999</v>
      </c>
      <c r="J33" s="171"/>
      <c r="K33" s="154"/>
    </row>
    <row r="34" spans="1:11" s="94" customFormat="1" ht="17.25">
      <c r="A34" s="103" t="s">
        <v>3</v>
      </c>
      <c r="B34" s="127">
        <v>8702.6</v>
      </c>
      <c r="C34" s="128">
        <v>12906.6</v>
      </c>
      <c r="D34" s="105">
        <f>364.6+548.1+389.3+522.2+63+395+556.7+63+391.3+512.8+63+394.6+664.3+89.8+0.3+456.7+632.3+12+89.8+485+19+3.6+623.1+89.8+9.9+419.4</f>
        <v>7858.600000000001</v>
      </c>
      <c r="E34" s="107">
        <f>D34/D33*100</f>
        <v>56.98064778091172</v>
      </c>
      <c r="F34" s="107">
        <f t="shared" si="3"/>
        <v>90.30174890262681</v>
      </c>
      <c r="G34" s="107">
        <f t="shared" si="0"/>
        <v>60.88822772844902</v>
      </c>
      <c r="H34" s="105">
        <f t="shared" si="2"/>
        <v>843.9999999999991</v>
      </c>
      <c r="I34" s="105">
        <f t="shared" si="1"/>
        <v>5047.999999999999</v>
      </c>
      <c r="J34" s="168"/>
      <c r="K34" s="154"/>
    </row>
    <row r="35" spans="1:11" s="94" customFormat="1" ht="17.25">
      <c r="A35" s="103" t="s">
        <v>1</v>
      </c>
      <c r="B35" s="127">
        <v>59.646</v>
      </c>
      <c r="C35" s="128">
        <v>81.1</v>
      </c>
      <c r="D35" s="105">
        <f>6.8+8.7+11.6+32.5</f>
        <v>59.6</v>
      </c>
      <c r="E35" s="107">
        <f>D35/D33*100</f>
        <v>0.4321439706490136</v>
      </c>
      <c r="F35" s="107">
        <f t="shared" si="3"/>
        <v>99.92287831539416</v>
      </c>
      <c r="G35" s="107">
        <f t="shared" si="0"/>
        <v>73.48951911220716</v>
      </c>
      <c r="H35" s="105">
        <f t="shared" si="2"/>
        <v>0.045999999999999375</v>
      </c>
      <c r="I35" s="105">
        <f t="shared" si="1"/>
        <v>21.499999999999993</v>
      </c>
      <c r="J35" s="168"/>
      <c r="K35" s="154"/>
    </row>
    <row r="36" spans="1:11" s="94" customFormat="1" ht="17.25">
      <c r="A36" s="103" t="s">
        <v>0</v>
      </c>
      <c r="B36" s="127">
        <v>1055.7</v>
      </c>
      <c r="C36" s="128">
        <v>1783</v>
      </c>
      <c r="D36" s="105">
        <f>0.3+11.3+141.7+12.6+0.9+12.9+1.3+0.5+169.4+1.1+0.1+0.4+11.3+166.1+3.8+5.1+2.9+0.2+0.5+11.9+319.9+44.3+12.2+0.9-0.2+8.4+29.5+8.6+0.2+7.6+0.4+4.3+0.1+0.3+7.8+4.8</f>
        <v>1003.3999999999997</v>
      </c>
      <c r="E36" s="107">
        <f>D36/D33*100</f>
        <v>7.275390270960069</v>
      </c>
      <c r="F36" s="107">
        <f t="shared" si="3"/>
        <v>95.04594108174668</v>
      </c>
      <c r="G36" s="107">
        <f t="shared" si="0"/>
        <v>56.275939427930446</v>
      </c>
      <c r="H36" s="105">
        <f t="shared" si="2"/>
        <v>52.300000000000296</v>
      </c>
      <c r="I36" s="105">
        <f t="shared" si="1"/>
        <v>779.6000000000003</v>
      </c>
      <c r="J36" s="168"/>
      <c r="K36" s="154"/>
    </row>
    <row r="37" spans="1:12" s="95" customFormat="1" ht="17.25">
      <c r="A37" s="118" t="s">
        <v>7</v>
      </c>
      <c r="B37" s="138">
        <v>536.5</v>
      </c>
      <c r="C37" s="139">
        <v>1008</v>
      </c>
      <c r="D37" s="109">
        <f>44.8+25.1+1.6+0.5+2.7+1+6.3+8.5+2.5+36.6+1.5+4.5+23.6+4.1+106.1+32.6+9.7+2.5+4.3+1.9+2.2+5.9+0.2</f>
        <v>328.69999999999993</v>
      </c>
      <c r="E37" s="113">
        <f>D37/D33*100</f>
        <v>2.383317502555885</v>
      </c>
      <c r="F37" s="113">
        <f t="shared" si="3"/>
        <v>61.267474370922635</v>
      </c>
      <c r="G37" s="113">
        <f t="shared" si="0"/>
        <v>32.60912698412698</v>
      </c>
      <c r="H37" s="109">
        <f t="shared" si="2"/>
        <v>207.80000000000007</v>
      </c>
      <c r="I37" s="109">
        <f t="shared" si="1"/>
        <v>679.3000000000001</v>
      </c>
      <c r="J37" s="170"/>
      <c r="K37" s="154"/>
      <c r="L37" s="140"/>
    </row>
    <row r="38" spans="1:11" s="94" customFormat="1" ht="17.25">
      <c r="A38" s="103" t="s">
        <v>14</v>
      </c>
      <c r="B38" s="127">
        <v>34.2</v>
      </c>
      <c r="C38" s="128">
        <f>80.8+8.7</f>
        <v>89.5</v>
      </c>
      <c r="D38" s="128">
        <f>5.1+5.1+5.1+5.1+5.1+8.7</f>
        <v>34.2</v>
      </c>
      <c r="E38" s="107">
        <f>D38/D33*100</f>
        <v>0.2479752314798031</v>
      </c>
      <c r="F38" s="107">
        <f t="shared" si="3"/>
        <v>100</v>
      </c>
      <c r="G38" s="107">
        <f t="shared" si="0"/>
        <v>38.2122905027933</v>
      </c>
      <c r="H38" s="105">
        <f t="shared" si="2"/>
        <v>0</v>
      </c>
      <c r="I38" s="105">
        <f t="shared" si="1"/>
        <v>55.3</v>
      </c>
      <c r="J38" s="168"/>
      <c r="K38" s="154"/>
    </row>
    <row r="39" spans="1:11" s="94" customFormat="1" ht="18" thickBot="1">
      <c r="A39" s="103" t="s">
        <v>27</v>
      </c>
      <c r="B39" s="127">
        <f>B33-B34-B36-B37-B35-B38</f>
        <v>5607.954000000001</v>
      </c>
      <c r="C39" s="127">
        <f>C33-C34-C36-C37-C35-C38</f>
        <v>8919.699999999997</v>
      </c>
      <c r="D39" s="127">
        <f>D33-D34-D36-D37-D35-D38</f>
        <v>4507.199999999998</v>
      </c>
      <c r="E39" s="107">
        <f>D39/D33*100</f>
        <v>32.68052524344351</v>
      </c>
      <c r="F39" s="107">
        <f t="shared" si="3"/>
        <v>80.37155796927003</v>
      </c>
      <c r="G39" s="107">
        <f t="shared" si="0"/>
        <v>50.53084745002634</v>
      </c>
      <c r="H39" s="105">
        <f>B39-D39</f>
        <v>1100.7540000000026</v>
      </c>
      <c r="I39" s="105">
        <f t="shared" si="1"/>
        <v>4412.499999999999</v>
      </c>
      <c r="J39" s="168"/>
      <c r="K39" s="154"/>
    </row>
    <row r="40" spans="1:11" ht="18" hidden="1" thickBot="1">
      <c r="A40" s="75" t="s">
        <v>66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J40" s="168"/>
      <c r="K40" s="154">
        <f>C40-B40</f>
        <v>0</v>
      </c>
    </row>
    <row r="41" spans="1:11" ht="18" hidden="1" thickBot="1">
      <c r="A41" s="75" t="s">
        <v>67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J41" s="168"/>
      <c r="K41" s="154">
        <f>C41-B41</f>
        <v>0</v>
      </c>
    </row>
    <row r="42" spans="1:11" ht="18" hidden="1" thickBot="1">
      <c r="A42" s="75" t="s">
        <v>68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J42" s="168"/>
      <c r="K42" s="154">
        <f>C42-B42</f>
        <v>0</v>
      </c>
    </row>
    <row r="43" spans="1:11" ht="18" thickBot="1">
      <c r="A43" s="12" t="s">
        <v>16</v>
      </c>
      <c r="B43" s="77">
        <v>1342.7</v>
      </c>
      <c r="C43" s="40">
        <f>1126.9+467</f>
        <v>1593.9</v>
      </c>
      <c r="D43" s="41">
        <f>63.9+1.1+0.6+70.8+0.5+48+6.7+2+13.7+10.4+20.2+0.7+37.4+27+181.7+0.2+2.1+7.5+10+0.2+3.3+24.2+12.6</f>
        <v>544.8</v>
      </c>
      <c r="E43" s="3">
        <f>D43/D154*100</f>
        <v>0.04548372416525719</v>
      </c>
      <c r="F43" s="3">
        <f>D43/B43*100</f>
        <v>40.574960899679745</v>
      </c>
      <c r="G43" s="3">
        <f t="shared" si="0"/>
        <v>34.180312441182004</v>
      </c>
      <c r="H43" s="41">
        <f t="shared" si="2"/>
        <v>797.9000000000001</v>
      </c>
      <c r="I43" s="41">
        <f t="shared" si="1"/>
        <v>1049.1000000000001</v>
      </c>
      <c r="J43" s="168"/>
      <c r="K43" s="154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J44" s="168"/>
      <c r="K44" s="154"/>
    </row>
    <row r="45" spans="1:11" ht="18" thickBot="1">
      <c r="A45" s="20" t="s">
        <v>44</v>
      </c>
      <c r="B45" s="39">
        <v>9036</v>
      </c>
      <c r="C45" s="40">
        <v>13576.3</v>
      </c>
      <c r="D45" s="41">
        <f>237.1+562.8+52.3+349.2+679.9+375.9+891+78.3+327.4+13.5+670.2+386.5+179.9+781.7-0.1+25.5+366.5+16.5+692.2+3.8+389.3+707.6+15.1+379.9+4.5</f>
        <v>8186.5</v>
      </c>
      <c r="E45" s="3">
        <f>D45/D154*100</f>
        <v>0.683466424153594</v>
      </c>
      <c r="F45" s="3">
        <f>D45/B45*100</f>
        <v>90.59871624612661</v>
      </c>
      <c r="G45" s="3">
        <f aca="true" t="shared" si="5" ref="G45:G76">D45/C45*100</f>
        <v>60.29993444458358</v>
      </c>
      <c r="H45" s="41">
        <f>B45-D45</f>
        <v>849.5</v>
      </c>
      <c r="I45" s="41">
        <f aca="true" t="shared" si="6" ref="I45:I77">C45-D45</f>
        <v>5389.799999999999</v>
      </c>
      <c r="J45" s="168"/>
      <c r="K45" s="154"/>
    </row>
    <row r="46" spans="1:11" s="94" customFormat="1" ht="17.25">
      <c r="A46" s="103" t="s">
        <v>3</v>
      </c>
      <c r="B46" s="127">
        <v>8180.6</v>
      </c>
      <c r="C46" s="128">
        <v>12256.4</v>
      </c>
      <c r="D46" s="105">
        <f>237.1+551.8+334.1+652.5+314.7+746.1+319.2+661.7+342.8+781.7+0.2-0.1+366.5+692.2+367.7+697.1+14.1+359.1</f>
        <v>7438.5</v>
      </c>
      <c r="E46" s="107">
        <f>D46/D45*100</f>
        <v>90.86300616869237</v>
      </c>
      <c r="F46" s="107">
        <f aca="true" t="shared" si="7" ref="F46:F74">D46/B46*100</f>
        <v>90.92853824902818</v>
      </c>
      <c r="G46" s="107">
        <f t="shared" si="5"/>
        <v>60.69074116380014</v>
      </c>
      <c r="H46" s="105">
        <f aca="true" t="shared" si="8" ref="H46:H74">B46-D46</f>
        <v>742.1000000000004</v>
      </c>
      <c r="I46" s="105">
        <f t="shared" si="6"/>
        <v>4817.9</v>
      </c>
      <c r="J46" s="168"/>
      <c r="K46" s="154"/>
    </row>
    <row r="47" spans="1:11" s="94" customFormat="1" ht="17.25">
      <c r="A47" s="103" t="s">
        <v>2</v>
      </c>
      <c r="B47" s="127">
        <v>0.758</v>
      </c>
      <c r="C47" s="128">
        <v>1.5</v>
      </c>
      <c r="D47" s="105"/>
      <c r="E47" s="107">
        <f>D47/D45*100</f>
        <v>0</v>
      </c>
      <c r="F47" s="107">
        <f t="shared" si="7"/>
        <v>0</v>
      </c>
      <c r="G47" s="107">
        <f t="shared" si="5"/>
        <v>0</v>
      </c>
      <c r="H47" s="105">
        <f t="shared" si="8"/>
        <v>0.758</v>
      </c>
      <c r="I47" s="105">
        <f t="shared" si="6"/>
        <v>1.5</v>
      </c>
      <c r="J47" s="168"/>
      <c r="K47" s="154"/>
    </row>
    <row r="48" spans="1:11" s="94" customFormat="1" ht="17.25">
      <c r="A48" s="103" t="s">
        <v>1</v>
      </c>
      <c r="B48" s="127">
        <v>58.56</v>
      </c>
      <c r="C48" s="128">
        <v>98.9</v>
      </c>
      <c r="D48" s="105">
        <f>5.7+6.1+6.5+7.7+8.4+7+0.1</f>
        <v>41.5</v>
      </c>
      <c r="E48" s="107">
        <f>D48/D45*100</f>
        <v>0.506932144384047</v>
      </c>
      <c r="F48" s="107">
        <f t="shared" si="7"/>
        <v>70.86748633879782</v>
      </c>
      <c r="G48" s="107">
        <f t="shared" si="5"/>
        <v>41.96157735085945</v>
      </c>
      <c r="H48" s="105">
        <f t="shared" si="8"/>
        <v>17.060000000000002</v>
      </c>
      <c r="I48" s="105">
        <f t="shared" si="6"/>
        <v>57.400000000000006</v>
      </c>
      <c r="J48" s="168"/>
      <c r="K48" s="154"/>
    </row>
    <row r="49" spans="1:11" s="94" customFormat="1" ht="17.25">
      <c r="A49" s="103" t="s">
        <v>0</v>
      </c>
      <c r="B49" s="127">
        <v>575.3</v>
      </c>
      <c r="C49" s="128">
        <v>879.8</v>
      </c>
      <c r="D49" s="105">
        <f>7.3+51.9+12.7-0.1+54.5+131.2+49.5+2.4+7.9+11.2+178.3+0.4+4.1+0.1+0.6+1.4+0.5+0.8+4.5</f>
        <v>519.1999999999999</v>
      </c>
      <c r="E49" s="107">
        <f>D49/D45*100</f>
        <v>6.342148659378244</v>
      </c>
      <c r="F49" s="107">
        <f t="shared" si="7"/>
        <v>90.24856596558317</v>
      </c>
      <c r="G49" s="107">
        <f t="shared" si="5"/>
        <v>59.01341213912252</v>
      </c>
      <c r="H49" s="105">
        <f t="shared" si="8"/>
        <v>56.10000000000002</v>
      </c>
      <c r="I49" s="105">
        <f t="shared" si="6"/>
        <v>360.6</v>
      </c>
      <c r="J49" s="168"/>
      <c r="K49" s="154"/>
    </row>
    <row r="50" spans="1:11" s="94" customFormat="1" ht="18" thickBot="1">
      <c r="A50" s="103" t="s">
        <v>27</v>
      </c>
      <c r="B50" s="128">
        <f>B45-B46-B49-B48-B47</f>
        <v>220.78199999999967</v>
      </c>
      <c r="C50" s="128">
        <f>C45-C46-C49-C48-C47</f>
        <v>339.6999999999997</v>
      </c>
      <c r="D50" s="128">
        <f>D45-D46-D49-D48-D47</f>
        <v>187.30000000000007</v>
      </c>
      <c r="E50" s="107">
        <f>D50/D45*100</f>
        <v>2.2879130275453496</v>
      </c>
      <c r="F50" s="107">
        <f t="shared" si="7"/>
        <v>84.83481443233613</v>
      </c>
      <c r="G50" s="107">
        <f t="shared" si="5"/>
        <v>55.136885487194654</v>
      </c>
      <c r="H50" s="105">
        <f t="shared" si="8"/>
        <v>33.4819999999996</v>
      </c>
      <c r="I50" s="105">
        <f t="shared" si="6"/>
        <v>152.39999999999964</v>
      </c>
      <c r="J50" s="168"/>
      <c r="K50" s="154"/>
    </row>
    <row r="51" spans="1:11" ht="18" thickBot="1">
      <c r="A51" s="20" t="s">
        <v>4</v>
      </c>
      <c r="B51" s="39">
        <v>24788.4</v>
      </c>
      <c r="C51" s="40">
        <f>37135.4+450-426</f>
        <v>37159.4</v>
      </c>
      <c r="D51" s="41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</f>
        <v>19389.399999999998</v>
      </c>
      <c r="E51" s="3">
        <f>D51/D154*100</f>
        <v>1.6187630714571177</v>
      </c>
      <c r="F51" s="3">
        <f>D51/B51*100</f>
        <v>78.2196511271401</v>
      </c>
      <c r="G51" s="3">
        <f t="shared" si="5"/>
        <v>52.178991049371085</v>
      </c>
      <c r="H51" s="41">
        <f>B51-D51</f>
        <v>5399.000000000004</v>
      </c>
      <c r="I51" s="41">
        <f t="shared" si="6"/>
        <v>17770.000000000004</v>
      </c>
      <c r="J51" s="168"/>
      <c r="K51" s="154"/>
    </row>
    <row r="52" spans="1:11" s="94" customFormat="1" ht="17.25">
      <c r="A52" s="103" t="s">
        <v>3</v>
      </c>
      <c r="B52" s="127">
        <v>13345</v>
      </c>
      <c r="C52" s="128">
        <v>20097.4</v>
      </c>
      <c r="D52" s="105">
        <f>632.9+34.3+767.3+737.6+710.6+649.6+792.4+1.6+643.1+825.6+650.1+947+1196.1+785.4+658.1+439+623.6+358.8</f>
        <v>11453.1</v>
      </c>
      <c r="E52" s="107">
        <f>D52/D51*100</f>
        <v>59.06887268301237</v>
      </c>
      <c r="F52" s="107">
        <f t="shared" si="7"/>
        <v>85.82315473960284</v>
      </c>
      <c r="G52" s="107">
        <f t="shared" si="5"/>
        <v>56.98796859295232</v>
      </c>
      <c r="H52" s="105">
        <f t="shared" si="8"/>
        <v>1891.8999999999996</v>
      </c>
      <c r="I52" s="105">
        <f t="shared" si="6"/>
        <v>8644.300000000001</v>
      </c>
      <c r="J52" s="168"/>
      <c r="K52" s="154"/>
    </row>
    <row r="53" spans="1:11" s="94" customFormat="1" ht="17.25">
      <c r="A53" s="103" t="s">
        <v>2</v>
      </c>
      <c r="B53" s="127">
        <v>0</v>
      </c>
      <c r="C53" s="128">
        <v>13.9</v>
      </c>
      <c r="D53" s="105"/>
      <c r="E53" s="107">
        <f>D53/D51*100</f>
        <v>0</v>
      </c>
      <c r="F53" s="107" t="e">
        <f>D53/B53*100</f>
        <v>#DIV/0!</v>
      </c>
      <c r="G53" s="107">
        <f t="shared" si="5"/>
        <v>0</v>
      </c>
      <c r="H53" s="105">
        <f t="shared" si="8"/>
        <v>0</v>
      </c>
      <c r="I53" s="105">
        <f t="shared" si="6"/>
        <v>13.9</v>
      </c>
      <c r="J53" s="168"/>
      <c r="K53" s="154"/>
    </row>
    <row r="54" spans="1:11" s="94" customFormat="1" ht="17.25">
      <c r="A54" s="103" t="s">
        <v>1</v>
      </c>
      <c r="B54" s="127">
        <v>626.2</v>
      </c>
      <c r="C54" s="128">
        <v>993.6</v>
      </c>
      <c r="D54" s="105">
        <f>0.2+4.2+9+4.7+9.6+6.3+43.2+2.7+18.4+3.8+23.8+5.3+12.2+43.2+26.7+3.8+22.4+0.4+59.7+30.3+3.3+19.2+7+2.9+21+4.4-0.4+4.8+2.2+3.6+32.5+6.4+7.8+23.5+0.7+4.2+10.2+2.2+1.8+2+15.6+1.8+2.2+4.1</f>
        <v>512.9</v>
      </c>
      <c r="E54" s="107">
        <f>D54/D51*100</f>
        <v>2.645259781117518</v>
      </c>
      <c r="F54" s="107">
        <f t="shared" si="7"/>
        <v>81.90673906100287</v>
      </c>
      <c r="G54" s="107">
        <f t="shared" si="5"/>
        <v>51.620370370370374</v>
      </c>
      <c r="H54" s="105">
        <f t="shared" si="8"/>
        <v>113.30000000000007</v>
      </c>
      <c r="I54" s="105">
        <f t="shared" si="6"/>
        <v>480.70000000000005</v>
      </c>
      <c r="J54" s="168"/>
      <c r="K54" s="154"/>
    </row>
    <row r="55" spans="1:11" s="94" customFormat="1" ht="17.25">
      <c r="A55" s="103" t="s">
        <v>0</v>
      </c>
      <c r="B55" s="127">
        <v>669.5</v>
      </c>
      <c r="C55" s="128">
        <v>1219.9</v>
      </c>
      <c r="D55" s="105">
        <f>0.5+1+2.8+12.3+8.3+0.5+0.4+8.7+15+0.3+1.3+64.9+33.6+8.1+0.1+94.7+0.3+9.8+7.8+0.9+1.8+16.2+18.3+3.3+0.1+11.4+0.1+11.4+1.3+76.9+6.2+11.6+2.1+2.4+24+0.1+0.5+16.3+2.5+1.1+3.8+2.1+10.3+5.8+0.4+0.3+0.3+9.3+0.2+0.6+1.1-0.2+0.5+0.1</f>
        <v>513.5000000000001</v>
      </c>
      <c r="E55" s="107">
        <f>D55/D51*100</f>
        <v>2.64835425541791</v>
      </c>
      <c r="F55" s="107">
        <f t="shared" si="7"/>
        <v>76.69902912621362</v>
      </c>
      <c r="G55" s="107">
        <f t="shared" si="5"/>
        <v>42.09361423067465</v>
      </c>
      <c r="H55" s="105">
        <f t="shared" si="8"/>
        <v>155.9999999999999</v>
      </c>
      <c r="I55" s="105">
        <f t="shared" si="6"/>
        <v>706.4</v>
      </c>
      <c r="J55" s="168"/>
      <c r="K55" s="154"/>
    </row>
    <row r="56" spans="1:11" s="94" customFormat="1" ht="17.25">
      <c r="A56" s="103" t="s">
        <v>14</v>
      </c>
      <c r="B56" s="127">
        <v>880</v>
      </c>
      <c r="C56" s="128">
        <v>1320</v>
      </c>
      <c r="D56" s="128">
        <f>110+110+110+110+110+110+110+110</f>
        <v>880</v>
      </c>
      <c r="E56" s="107">
        <f>D56/D51*100</f>
        <v>4.538562307240039</v>
      </c>
      <c r="F56" s="107">
        <f>D56/B56*100</f>
        <v>100</v>
      </c>
      <c r="G56" s="107">
        <f>D56/C56*100</f>
        <v>66.66666666666666</v>
      </c>
      <c r="H56" s="105">
        <f t="shared" si="8"/>
        <v>0</v>
      </c>
      <c r="I56" s="105">
        <f t="shared" si="6"/>
        <v>440</v>
      </c>
      <c r="J56" s="168"/>
      <c r="K56" s="154"/>
    </row>
    <row r="57" spans="1:11" s="94" customFormat="1" ht="18" thickBot="1">
      <c r="A57" s="103" t="s">
        <v>27</v>
      </c>
      <c r="B57" s="128">
        <f>B51-B52-B55-B54-B53-B56</f>
        <v>9267.7</v>
      </c>
      <c r="C57" s="128">
        <f>C51-C52-C55-C54-C53-C56</f>
        <v>13514.6</v>
      </c>
      <c r="D57" s="128">
        <f>D51-D52-D55-D54-D53-D56</f>
        <v>6029.899999999998</v>
      </c>
      <c r="E57" s="107">
        <f>D57/D51*100</f>
        <v>31.09895097321216</v>
      </c>
      <c r="F57" s="107">
        <f t="shared" si="7"/>
        <v>65.06360801493356</v>
      </c>
      <c r="G57" s="107">
        <f t="shared" si="5"/>
        <v>44.61767273911176</v>
      </c>
      <c r="H57" s="105">
        <f>B57-D57</f>
        <v>3237.800000000003</v>
      </c>
      <c r="I57" s="105">
        <f>C57-D57</f>
        <v>7484.700000000003</v>
      </c>
      <c r="J57" s="168"/>
      <c r="K57" s="154"/>
    </row>
    <row r="58" spans="1:11" s="32" customFormat="1" ht="18" hidden="1" thickBot="1">
      <c r="A58" s="75" t="s">
        <v>65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J58" s="170"/>
      <c r="K58" s="154">
        <f>C58-B58</f>
        <v>0</v>
      </c>
    </row>
    <row r="59" spans="1:11" ht="18" thickBot="1">
      <c r="A59" s="20" t="s">
        <v>6</v>
      </c>
      <c r="B59" s="39">
        <v>8243.8</v>
      </c>
      <c r="C59" s="40">
        <f>9264.2+300+32.4</f>
        <v>9596.6</v>
      </c>
      <c r="D59" s="41">
        <f>87.7+79.1+87.8+43.2+40.5+47.6+13+155.9+18+2.1+84.2+29.6+0.7+0.5+5.7+85.8+109.2+19+38.3+85.7+1.2+4.7+89.8+79.1+0.4+114.1+2.5+187.7+22+17.7+67.3-3+41+50.9+0.1+2.6+120+203+53.7+50+85.8+1.8+136+93.7+2.7+167.9+8.7+0.1+42.3+44.8+283.5+103.6</f>
        <v>3109.3</v>
      </c>
      <c r="E59" s="3">
        <f>D59/D154*100</f>
        <v>0.259586166569446</v>
      </c>
      <c r="F59" s="3">
        <f>D59/B59*100</f>
        <v>37.71682961740945</v>
      </c>
      <c r="G59" s="3">
        <f t="shared" si="5"/>
        <v>32.40001667257154</v>
      </c>
      <c r="H59" s="41">
        <f>B59-D59</f>
        <v>5134.499999999999</v>
      </c>
      <c r="I59" s="41">
        <f t="shared" si="6"/>
        <v>6487.3</v>
      </c>
      <c r="J59" s="168"/>
      <c r="K59" s="154"/>
    </row>
    <row r="60" spans="1:11" s="94" customFormat="1" ht="17.25">
      <c r="A60" s="103" t="s">
        <v>3</v>
      </c>
      <c r="B60" s="127">
        <v>2094.4</v>
      </c>
      <c r="C60" s="128">
        <v>3119.7</v>
      </c>
      <c r="D60" s="105">
        <f>77.7+79.1+76.9+40.5+47.3+155.9+45+29.2+85.8+95.3+38.3+30.7+89.8+79.1+80.7+178.9+50.9+35.4+119.2+73+83.9+167.9+42.3+43</f>
        <v>1845.8000000000004</v>
      </c>
      <c r="E60" s="107">
        <f>D60/D59*100</f>
        <v>59.363843952014925</v>
      </c>
      <c r="F60" s="107">
        <f t="shared" si="7"/>
        <v>88.13025210084035</v>
      </c>
      <c r="G60" s="107">
        <f t="shared" si="5"/>
        <v>59.16594544347215</v>
      </c>
      <c r="H60" s="105">
        <f t="shared" si="8"/>
        <v>248.59999999999968</v>
      </c>
      <c r="I60" s="105">
        <f t="shared" si="6"/>
        <v>1273.8999999999994</v>
      </c>
      <c r="J60" s="168"/>
      <c r="K60" s="154"/>
    </row>
    <row r="61" spans="1:11" s="94" customFormat="1" ht="17.25">
      <c r="A61" s="103" t="s">
        <v>1</v>
      </c>
      <c r="B61" s="127">
        <v>393.1</v>
      </c>
      <c r="C61" s="128">
        <f>360.7+32.4</f>
        <v>393.09999999999997</v>
      </c>
      <c r="D61" s="105">
        <f>127+93.7+101.3</f>
        <v>322</v>
      </c>
      <c r="E61" s="107">
        <f>D61/D59*100</f>
        <v>10.35602868812916</v>
      </c>
      <c r="F61" s="107">
        <f>D61/B61*100</f>
        <v>81.9129992368354</v>
      </c>
      <c r="G61" s="107">
        <f t="shared" si="5"/>
        <v>81.91299923683542</v>
      </c>
      <c r="H61" s="105">
        <f t="shared" si="8"/>
        <v>71.10000000000002</v>
      </c>
      <c r="I61" s="105">
        <f t="shared" si="6"/>
        <v>71.09999999999997</v>
      </c>
      <c r="J61" s="168"/>
      <c r="K61" s="154"/>
    </row>
    <row r="62" spans="1:11" s="94" customFormat="1" ht="17.25">
      <c r="A62" s="103" t="s">
        <v>0</v>
      </c>
      <c r="B62" s="127">
        <v>245.6</v>
      </c>
      <c r="C62" s="128">
        <v>393.7</v>
      </c>
      <c r="D62" s="105">
        <f>10.9+43.2+13-3+39.2+5.7+50.2+3.5+0.2+29.7+2.5+1.8+22+0.1+0.7+2.1+0.1+0.1+2.2+0.1+0.1</f>
        <v>224.39999999999992</v>
      </c>
      <c r="E62" s="107">
        <f>D62/D59*100</f>
        <v>7.217058501913611</v>
      </c>
      <c r="F62" s="107">
        <f t="shared" si="7"/>
        <v>91.36807817589573</v>
      </c>
      <c r="G62" s="107">
        <f t="shared" si="5"/>
        <v>56.997713995427965</v>
      </c>
      <c r="H62" s="105">
        <f t="shared" si="8"/>
        <v>21.200000000000074</v>
      </c>
      <c r="I62" s="105">
        <f t="shared" si="6"/>
        <v>169.30000000000007</v>
      </c>
      <c r="J62" s="168"/>
      <c r="K62" s="154"/>
    </row>
    <row r="63" spans="1:11" s="94" customFormat="1" ht="17.25">
      <c r="A63" s="103" t="s">
        <v>14</v>
      </c>
      <c r="B63" s="127">
        <v>4866.6</v>
      </c>
      <c r="C63" s="128">
        <v>4866.6</v>
      </c>
      <c r="D63" s="105">
        <f>136+283.5</f>
        <v>419.5</v>
      </c>
      <c r="E63" s="107">
        <f>D63/D59*100</f>
        <v>13.491782716367027</v>
      </c>
      <c r="F63" s="107">
        <f t="shared" si="7"/>
        <v>8.619981095631445</v>
      </c>
      <c r="G63" s="107">
        <f t="shared" si="5"/>
        <v>8.619981095631445</v>
      </c>
      <c r="H63" s="105">
        <f t="shared" si="8"/>
        <v>4447.1</v>
      </c>
      <c r="I63" s="105">
        <f t="shared" si="6"/>
        <v>4447.1</v>
      </c>
      <c r="J63" s="168"/>
      <c r="K63" s="154"/>
    </row>
    <row r="64" spans="1:11" s="94" customFormat="1" ht="18" thickBot="1">
      <c r="A64" s="103" t="s">
        <v>27</v>
      </c>
      <c r="B64" s="128">
        <f>B59-B60-B62-B63-B61</f>
        <v>644.0999999999989</v>
      </c>
      <c r="C64" s="128">
        <f>C59-C60-C62-C63-C61</f>
        <v>823.5000000000005</v>
      </c>
      <c r="D64" s="128">
        <f>D59-D60-D62-D63-D61</f>
        <v>297.5999999999999</v>
      </c>
      <c r="E64" s="107">
        <f>D64/D59*100</f>
        <v>9.571286141575271</v>
      </c>
      <c r="F64" s="107">
        <f t="shared" si="7"/>
        <v>46.20400558919429</v>
      </c>
      <c r="G64" s="107">
        <f t="shared" si="5"/>
        <v>36.13843351548267</v>
      </c>
      <c r="H64" s="105">
        <f t="shared" si="8"/>
        <v>346.499999999999</v>
      </c>
      <c r="I64" s="105">
        <f t="shared" si="6"/>
        <v>525.9000000000005</v>
      </c>
      <c r="J64" s="168"/>
      <c r="K64" s="154"/>
    </row>
    <row r="65" spans="1:11" s="32" customFormat="1" ht="18" hidden="1" thickBot="1">
      <c r="A65" s="75" t="s">
        <v>76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J65" s="170"/>
      <c r="K65" s="154">
        <f>C65-B65</f>
        <v>0</v>
      </c>
    </row>
    <row r="66" spans="1:11" s="32" customFormat="1" ht="18" hidden="1" thickBot="1">
      <c r="A66" s="75" t="s">
        <v>62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J66" s="170"/>
      <c r="K66" s="154">
        <f>C66-B66</f>
        <v>0</v>
      </c>
    </row>
    <row r="67" spans="1:11" s="32" customFormat="1" ht="18" hidden="1" thickBot="1">
      <c r="A67" s="75" t="s">
        <v>63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J67" s="170"/>
      <c r="K67" s="154">
        <f>C67-B67</f>
        <v>0</v>
      </c>
    </row>
    <row r="68" spans="1:11" s="32" customFormat="1" ht="18" hidden="1" thickBot="1">
      <c r="A68" s="75" t="s">
        <v>64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J68" s="170"/>
      <c r="K68" s="154">
        <f>C68-B68</f>
        <v>0</v>
      </c>
    </row>
    <row r="69" spans="1:11" ht="18" thickBot="1">
      <c r="A69" s="20" t="s">
        <v>20</v>
      </c>
      <c r="B69" s="40">
        <f>B70+B71</f>
        <v>355.20000000000005</v>
      </c>
      <c r="C69" s="40">
        <f>C70+C71</f>
        <v>438.9</v>
      </c>
      <c r="D69" s="41">
        <f>D70+D71</f>
        <v>227</v>
      </c>
      <c r="E69" s="30">
        <f>D69/D154*100</f>
        <v>0.01895155173552383</v>
      </c>
      <c r="F69" s="3">
        <f>D69/B69*100</f>
        <v>63.907657657657644</v>
      </c>
      <c r="G69" s="3">
        <f t="shared" si="5"/>
        <v>51.720209614946455</v>
      </c>
      <c r="H69" s="41">
        <f>B69-D69</f>
        <v>128.20000000000005</v>
      </c>
      <c r="I69" s="41">
        <f t="shared" si="6"/>
        <v>211.89999999999998</v>
      </c>
      <c r="J69" s="168"/>
      <c r="K69" s="154"/>
    </row>
    <row r="70" spans="1:11" s="94" customFormat="1" ht="17.25">
      <c r="A70" s="103" t="s">
        <v>8</v>
      </c>
      <c r="B70" s="127">
        <f>256.1+36-12-53.1</f>
        <v>227.00000000000003</v>
      </c>
      <c r="C70" s="128">
        <f>292.7-53.1-12</f>
        <v>227.6</v>
      </c>
      <c r="D70" s="105">
        <f>169.5+50+6+1.5</f>
        <v>227</v>
      </c>
      <c r="E70" s="107">
        <f>D70/D69*100</f>
        <v>100</v>
      </c>
      <c r="F70" s="107">
        <f t="shared" si="7"/>
        <v>99.99999999999999</v>
      </c>
      <c r="G70" s="107">
        <f t="shared" si="5"/>
        <v>99.73637961335677</v>
      </c>
      <c r="H70" s="105">
        <f t="shared" si="8"/>
        <v>0</v>
      </c>
      <c r="I70" s="105">
        <f t="shared" si="6"/>
        <v>0.5999999999999943</v>
      </c>
      <c r="J70" s="168"/>
      <c r="K70" s="154"/>
    </row>
    <row r="71" spans="1:11" s="94" customFormat="1" ht="18" thickBot="1">
      <c r="A71" s="103" t="s">
        <v>9</v>
      </c>
      <c r="B71" s="127">
        <v>128.2</v>
      </c>
      <c r="C71" s="128">
        <f>293.1-30-14-37.9+0.1</f>
        <v>211.3</v>
      </c>
      <c r="D71" s="105">
        <v>0</v>
      </c>
      <c r="E71" s="107">
        <f>D71/D70*100</f>
        <v>0</v>
      </c>
      <c r="F71" s="107">
        <f t="shared" si="7"/>
        <v>0</v>
      </c>
      <c r="G71" s="107">
        <f t="shared" si="5"/>
        <v>0</v>
      </c>
      <c r="H71" s="105">
        <f t="shared" si="8"/>
        <v>128.2</v>
      </c>
      <c r="I71" s="105">
        <f t="shared" si="6"/>
        <v>211.3</v>
      </c>
      <c r="J71" s="168"/>
      <c r="K71" s="154"/>
    </row>
    <row r="72" spans="1:11" ht="35.25" hidden="1" thickBot="1">
      <c r="A72" s="12" t="s">
        <v>41</v>
      </c>
      <c r="B72" s="46"/>
      <c r="C72" s="40">
        <f>C73+C74+C75+C76</f>
        <v>0</v>
      </c>
      <c r="D72" s="40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J72" s="168"/>
      <c r="K72" s="154"/>
    </row>
    <row r="73" spans="1:11" ht="17.25" hidden="1">
      <c r="A73" s="16" t="s">
        <v>45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J73" s="168"/>
      <c r="K73" s="154"/>
    </row>
    <row r="74" spans="1:11" ht="17.25" hidden="1">
      <c r="A74" s="16" t="s">
        <v>46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J74" s="168"/>
      <c r="K74" s="154"/>
    </row>
    <row r="75" spans="1:11" ht="17.25" hidden="1">
      <c r="A75" s="22" t="s">
        <v>34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J75" s="168"/>
      <c r="K75" s="154"/>
    </row>
    <row r="76" spans="1:11" ht="18" hidden="1" thickBot="1">
      <c r="A76" s="22" t="s">
        <v>42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J76" s="168"/>
      <c r="K76" s="154"/>
    </row>
    <row r="77" spans="1:11" s="32" customFormat="1" ht="18" thickBot="1">
      <c r="A77" s="23" t="s">
        <v>13</v>
      </c>
      <c r="B77" s="47">
        <v>0</v>
      </c>
      <c r="C77" s="54">
        <f>17000-13500-1000</f>
        <v>2500</v>
      </c>
      <c r="D77" s="55"/>
      <c r="E77" s="35"/>
      <c r="F77" s="35"/>
      <c r="G77" s="35"/>
      <c r="H77" s="55">
        <f>B77-D77</f>
        <v>0</v>
      </c>
      <c r="I77" s="55">
        <f t="shared" si="6"/>
        <v>2500</v>
      </c>
      <c r="J77" s="170"/>
      <c r="K77" s="154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J78" s="168"/>
      <c r="K78" s="154"/>
    </row>
    <row r="79" spans="1:11" ht="18.75" customHeight="1" hidden="1" thickBot="1">
      <c r="A79" s="12" t="s">
        <v>56</v>
      </c>
      <c r="B79" s="46"/>
      <c r="C79" s="40"/>
      <c r="D79" s="40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J79" s="168"/>
      <c r="K79" s="154"/>
    </row>
    <row r="80" spans="1:11" s="8" customFormat="1" ht="17.25" hidden="1">
      <c r="A80" s="9" t="s">
        <v>55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J80" s="172"/>
      <c r="K80" s="154"/>
    </row>
    <row r="81" spans="1:11" s="8" customFormat="1" ht="30.75" hidden="1">
      <c r="A81" s="9" t="s">
        <v>53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J81" s="172"/>
      <c r="K81" s="154"/>
    </row>
    <row r="82" spans="1:11" s="8" customFormat="1" ht="16.5" customHeight="1" hidden="1">
      <c r="A82" s="9" t="s">
        <v>33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J82" s="172"/>
      <c r="K82" s="154"/>
    </row>
    <row r="83" spans="1:11" s="8" customFormat="1" ht="33" customHeight="1" hidden="1" thickBot="1">
      <c r="A83" s="9" t="s">
        <v>39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J83" s="172"/>
      <c r="K83" s="154"/>
    </row>
    <row r="84" spans="1:11" ht="35.25" customHeight="1" hidden="1" thickBot="1">
      <c r="A84" s="12" t="s">
        <v>35</v>
      </c>
      <c r="B84" s="46"/>
      <c r="C84" s="40"/>
      <c r="D84" s="40"/>
      <c r="E84" s="3">
        <f>D84/D154*100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J84" s="168"/>
      <c r="K84" s="154"/>
    </row>
    <row r="85" spans="1:11" ht="16.5" customHeight="1" hidden="1">
      <c r="A85" s="21" t="s">
        <v>23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J85" s="168"/>
      <c r="K85" s="154"/>
    </row>
    <row r="86" spans="1:11" ht="16.5" customHeight="1" hidden="1" thickBot="1">
      <c r="A86" s="21" t="s">
        <v>24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J86" s="168"/>
      <c r="K86" s="154"/>
    </row>
    <row r="87" spans="1:11" ht="34.5" customHeight="1" hidden="1" thickBot="1">
      <c r="A87" s="12" t="s">
        <v>36</v>
      </c>
      <c r="B87" s="46"/>
      <c r="C87" s="40"/>
      <c r="D87" s="40"/>
      <c r="E87" s="3">
        <f>D87/D154*100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J87" s="168"/>
      <c r="K87" s="154"/>
    </row>
    <row r="88" spans="1:11" ht="17.25" customHeight="1" hidden="1">
      <c r="A88" s="21" t="s">
        <v>23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J88" s="168"/>
      <c r="K88" s="154"/>
    </row>
    <row r="89" spans="1:11" ht="17.25" customHeight="1" hidden="1" thickBot="1">
      <c r="A89" s="21" t="s">
        <v>24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J89" s="168"/>
      <c r="K89" s="154"/>
    </row>
    <row r="90" spans="1:11" ht="18" thickBot="1">
      <c r="A90" s="12" t="s">
        <v>10</v>
      </c>
      <c r="B90" s="46">
        <v>144524.4</v>
      </c>
      <c r="C90" s="40">
        <f>200580.6+2044.4+100+113.7</f>
        <v>202838.7</v>
      </c>
      <c r="D90" s="41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+3006+2574.2+0.9+10.4+54.6+152.2+203.5+3.5+78.3+1.5+60.6+3414.2+5016.1+1346.4+289.5+159.5+45.5+272.8+6.4+15+651.4+0.1+4.4+20.5+4031.5+1228.8+14.4+48.8+1386</f>
        <v>130967.79999999994</v>
      </c>
      <c r="E90" s="3">
        <f>D90/D154*100</f>
        <v>10.934110296862277</v>
      </c>
      <c r="F90" s="3">
        <f aca="true" t="shared" si="11" ref="F90:F96">D90/B90*100</f>
        <v>90.61985381015243</v>
      </c>
      <c r="G90" s="3">
        <f t="shared" si="9"/>
        <v>64.56746173190812</v>
      </c>
      <c r="H90" s="41">
        <f aca="true" t="shared" si="12" ref="H90:H96">B90-D90</f>
        <v>13556.60000000005</v>
      </c>
      <c r="I90" s="41">
        <f t="shared" si="10"/>
        <v>71870.90000000007</v>
      </c>
      <c r="J90" s="168"/>
      <c r="K90" s="154"/>
    </row>
    <row r="91" spans="1:11" s="94" customFormat="1" ht="21.75" customHeight="1">
      <c r="A91" s="103" t="s">
        <v>3</v>
      </c>
      <c r="B91" s="127">
        <v>135454.8</v>
      </c>
      <c r="C91" s="128">
        <f>190000-46.7</f>
        <v>189953.3</v>
      </c>
      <c r="D91" s="105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</f>
        <v>123775.80999999998</v>
      </c>
      <c r="E91" s="107">
        <f>D91/D90*100</f>
        <v>94.50858149865847</v>
      </c>
      <c r="F91" s="107">
        <f t="shared" si="11"/>
        <v>91.37794304816072</v>
      </c>
      <c r="G91" s="107">
        <f t="shared" si="9"/>
        <v>65.16117908980786</v>
      </c>
      <c r="H91" s="105">
        <f t="shared" si="12"/>
        <v>11678.990000000005</v>
      </c>
      <c r="I91" s="105">
        <f t="shared" si="10"/>
        <v>66177.49</v>
      </c>
      <c r="K91" s="154"/>
    </row>
    <row r="92" spans="1:11" s="94" customFormat="1" ht="17.25">
      <c r="A92" s="103" t="s">
        <v>25</v>
      </c>
      <c r="B92" s="127">
        <v>1732.7</v>
      </c>
      <c r="C92" s="128">
        <v>2776.4</v>
      </c>
      <c r="D92" s="105">
        <f>57.2+3.4+167+1.4+0.3+83.4+86.9+53.1+5.3+4.7+17+71.3+284.2+22.2+4.8+1.6+54.8+7+38.2+1.9+190+51.9+21+0.9+36.9+5.5+20.1+0.9+46.6+43.3-17.3+22+2.1</f>
        <v>1389.6000000000001</v>
      </c>
      <c r="E92" s="107">
        <f>D92/D90*100</f>
        <v>1.0610241601370722</v>
      </c>
      <c r="F92" s="107">
        <f t="shared" si="11"/>
        <v>80.19853407975992</v>
      </c>
      <c r="G92" s="107">
        <f t="shared" si="9"/>
        <v>50.05042501080537</v>
      </c>
      <c r="H92" s="105">
        <f t="shared" si="12"/>
        <v>343.0999999999999</v>
      </c>
      <c r="I92" s="105">
        <f t="shared" si="10"/>
        <v>1386.8</v>
      </c>
      <c r="K92" s="154"/>
    </row>
    <row r="93" spans="1:11" s="94" customFormat="1" ht="17.25" hidden="1">
      <c r="A93" s="103" t="s">
        <v>14</v>
      </c>
      <c r="B93" s="127"/>
      <c r="C93" s="128"/>
      <c r="D93" s="128"/>
      <c r="E93" s="129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K93" s="154">
        <f aca="true" t="shared" si="13" ref="K93:K101">C93-B93</f>
        <v>0</v>
      </c>
    </row>
    <row r="94" spans="1:11" s="94" customFormat="1" ht="18" thickBot="1">
      <c r="A94" s="103" t="s">
        <v>27</v>
      </c>
      <c r="B94" s="128">
        <f>B90-B91-B92-B93</f>
        <v>7336.900000000006</v>
      </c>
      <c r="C94" s="128">
        <f>C90-C91-C92-C93</f>
        <v>10109.000000000024</v>
      </c>
      <c r="D94" s="128">
        <f>D90-D91-D92-D93</f>
        <v>5802.389999999961</v>
      </c>
      <c r="E94" s="107">
        <f>D94/D90*100</f>
        <v>4.430394341204451</v>
      </c>
      <c r="F94" s="107">
        <f t="shared" si="11"/>
        <v>79.08503591435016</v>
      </c>
      <c r="G94" s="107">
        <f>D94/C94*100</f>
        <v>57.39825897714855</v>
      </c>
      <c r="H94" s="105">
        <f t="shared" si="12"/>
        <v>1534.5100000000448</v>
      </c>
      <c r="I94" s="105">
        <f>C94-D94</f>
        <v>4306.610000000062</v>
      </c>
      <c r="K94" s="154"/>
    </row>
    <row r="95" spans="1:11" ht="17.25">
      <c r="A95" s="83" t="s">
        <v>12</v>
      </c>
      <c r="B95" s="92">
        <v>31892.4</v>
      </c>
      <c r="C95" s="86">
        <f>46414.5+100+39.4+1153.5-64.6-244.3</f>
        <v>47398.5</v>
      </c>
      <c r="D95" s="85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</f>
        <v>24824.799999999996</v>
      </c>
      <c r="E95" s="82">
        <f>D95/D154*100</f>
        <v>2.0725483767578496</v>
      </c>
      <c r="F95" s="84">
        <f t="shared" si="11"/>
        <v>77.83923442575659</v>
      </c>
      <c r="G95" s="81">
        <f>D95/C95*100</f>
        <v>52.374653206325085</v>
      </c>
      <c r="H95" s="85">
        <f t="shared" si="12"/>
        <v>7067.600000000006</v>
      </c>
      <c r="I95" s="88">
        <f>C95-D95</f>
        <v>22573.700000000004</v>
      </c>
      <c r="J95" s="168"/>
      <c r="K95" s="154"/>
    </row>
    <row r="96" spans="1:11" s="94" customFormat="1" ht="18" thickBot="1">
      <c r="A96" s="130" t="s">
        <v>83</v>
      </c>
      <c r="B96" s="131">
        <v>8027</v>
      </c>
      <c r="C96" s="132">
        <v>12814.2</v>
      </c>
      <c r="D96" s="133">
        <f>194.6+1234+3.4+0.5+79.6+1026.4+0.7+86.4+939.3+4.2+87.7+624.7+8+489.4+90.3+1.9+597.9+5.5+67.2+2.1+31.9+0.2+90.5+32.4+530.2+66+90.3+454.6+5.4+212.8</f>
        <v>7058.099999999998</v>
      </c>
      <c r="E96" s="134">
        <f>D96/D95*100</f>
        <v>28.43164899616512</v>
      </c>
      <c r="F96" s="135">
        <f t="shared" si="11"/>
        <v>87.92948797807398</v>
      </c>
      <c r="G96" s="136">
        <f>D96/C96*100</f>
        <v>55.0803015404785</v>
      </c>
      <c r="H96" s="137">
        <f t="shared" si="12"/>
        <v>968.9000000000024</v>
      </c>
      <c r="I96" s="126">
        <f>C96-D96</f>
        <v>5756.100000000003</v>
      </c>
      <c r="J96" s="168"/>
      <c r="K96" s="154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J97" s="168"/>
      <c r="K97" s="154"/>
    </row>
    <row r="98" spans="1:11" ht="18" hidden="1" thickBot="1">
      <c r="A98" s="25" t="s">
        <v>37</v>
      </c>
      <c r="B98" s="60"/>
      <c r="C98" s="61"/>
      <c r="D98" s="62"/>
      <c r="E98" s="3">
        <f>D98/D154*100</f>
        <v>0</v>
      </c>
      <c r="F98" s="3"/>
      <c r="G98" s="3" t="e">
        <f>D98/C98*100</f>
        <v>#DIV/0!</v>
      </c>
      <c r="H98" s="41"/>
      <c r="I98" s="41">
        <f>C98-D98</f>
        <v>0</v>
      </c>
      <c r="J98" s="168"/>
      <c r="K98" s="154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J99" s="168"/>
      <c r="K99" s="154">
        <f t="shared" si="13"/>
        <v>0</v>
      </c>
    </row>
    <row r="100" spans="1:11" s="14" customFormat="1" ht="36" customHeight="1" hidden="1" thickBot="1">
      <c r="A100" s="12" t="s">
        <v>51</v>
      </c>
      <c r="B100" s="46"/>
      <c r="C100" s="40"/>
      <c r="D100" s="41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J100" s="169"/>
      <c r="K100" s="154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J101" s="168"/>
      <c r="K101" s="154">
        <f t="shared" si="13"/>
        <v>0</v>
      </c>
    </row>
    <row r="102" spans="1:11" s="32" customFormat="1" ht="18" thickBot="1">
      <c r="A102" s="12" t="s">
        <v>11</v>
      </c>
      <c r="B102" s="91">
        <v>9826.3</v>
      </c>
      <c r="C102" s="71">
        <f>11266.5-91.2+1707.2+14.9+0.2</f>
        <v>12897.6</v>
      </c>
      <c r="D102" s="66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</f>
        <v>8279</v>
      </c>
      <c r="E102" s="17">
        <f>D102/D154*100</f>
        <v>0.6911889727682898</v>
      </c>
      <c r="F102" s="17">
        <f>D102/B102*100</f>
        <v>84.25348299970487</v>
      </c>
      <c r="G102" s="17">
        <f aca="true" t="shared" si="14" ref="G102:G152">D102/C102*100</f>
        <v>64.19023694330728</v>
      </c>
      <c r="H102" s="66">
        <f aca="true" t="shared" si="15" ref="H102:H108">B102-D102</f>
        <v>1547.2999999999993</v>
      </c>
      <c r="I102" s="66">
        <f aca="true" t="shared" si="16" ref="I102:I152">C102-D102</f>
        <v>4618.6</v>
      </c>
      <c r="J102" s="170"/>
      <c r="K102" s="154"/>
    </row>
    <row r="103" spans="1:11" s="94" customFormat="1" ht="18.75" customHeight="1">
      <c r="A103" s="103" t="s">
        <v>3</v>
      </c>
      <c r="B103" s="119">
        <v>218.3</v>
      </c>
      <c r="C103" s="120">
        <v>363.8</v>
      </c>
      <c r="D103" s="120">
        <f>31.2+4.8+33.9+5.2+30.9+10.3+19.9</f>
        <v>136.2</v>
      </c>
      <c r="E103" s="121">
        <f>D103/D102*100</f>
        <v>1.645126222973789</v>
      </c>
      <c r="F103" s="107">
        <f>D103/B103*100</f>
        <v>62.39120476408612</v>
      </c>
      <c r="G103" s="121">
        <f>D103/C103*100</f>
        <v>37.43815283122595</v>
      </c>
      <c r="H103" s="120">
        <f t="shared" si="15"/>
        <v>82.10000000000002</v>
      </c>
      <c r="I103" s="120">
        <f t="shared" si="16"/>
        <v>227.60000000000002</v>
      </c>
      <c r="J103" s="168"/>
      <c r="K103" s="154"/>
    </row>
    <row r="104" spans="1:11" s="94" customFormat="1" ht="17.25">
      <c r="A104" s="122" t="s">
        <v>48</v>
      </c>
      <c r="B104" s="104">
        <v>8247.9</v>
      </c>
      <c r="C104" s="105">
        <f>8949.2-91.2+1682.1+14.9</f>
        <v>10555</v>
      </c>
      <c r="D104" s="105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</f>
        <v>7362.600000000002</v>
      </c>
      <c r="E104" s="107">
        <f>D104/D102*100</f>
        <v>88.93103031767124</v>
      </c>
      <c r="F104" s="107">
        <f aca="true" t="shared" si="17" ref="F104:F152">D104/B104*100</f>
        <v>89.26635870948972</v>
      </c>
      <c r="G104" s="107">
        <f t="shared" si="14"/>
        <v>69.75461866414024</v>
      </c>
      <c r="H104" s="105">
        <f t="shared" si="15"/>
        <v>885.2999999999975</v>
      </c>
      <c r="I104" s="105">
        <f t="shared" si="16"/>
        <v>3192.399999999998</v>
      </c>
      <c r="J104" s="168"/>
      <c r="K104" s="154"/>
    </row>
    <row r="105" spans="1:11" s="94" customFormat="1" ht="52.5" hidden="1" thickBot="1">
      <c r="A105" s="123" t="s">
        <v>79</v>
      </c>
      <c r="B105" s="124"/>
      <c r="C105" s="124"/>
      <c r="D105" s="124"/>
      <c r="E105" s="125">
        <f>D105/D102*100</f>
        <v>0</v>
      </c>
      <c r="F105" s="125" t="e">
        <f>D105/B105*100</f>
        <v>#DIV/0!</v>
      </c>
      <c r="G105" s="125" t="e">
        <f>D105/C105*100</f>
        <v>#DIV/0!</v>
      </c>
      <c r="H105" s="126">
        <f t="shared" si="15"/>
        <v>0</v>
      </c>
      <c r="I105" s="126">
        <f>C105-D105</f>
        <v>0</v>
      </c>
      <c r="J105" s="168"/>
      <c r="K105" s="154"/>
    </row>
    <row r="106" spans="1:11" s="94" customFormat="1" ht="18" thickBot="1">
      <c r="A106" s="123" t="s">
        <v>27</v>
      </c>
      <c r="B106" s="124">
        <f>B102-B103-B104</f>
        <v>1360.1000000000004</v>
      </c>
      <c r="C106" s="124">
        <f>C102-C103-C104</f>
        <v>1978.800000000001</v>
      </c>
      <c r="D106" s="124">
        <f>D102-D103-D104</f>
        <v>780.199999999998</v>
      </c>
      <c r="E106" s="125">
        <f>D106/D102*100</f>
        <v>9.42384345935497</v>
      </c>
      <c r="F106" s="125">
        <f t="shared" si="17"/>
        <v>57.36342915962045</v>
      </c>
      <c r="G106" s="125">
        <f t="shared" si="14"/>
        <v>39.42793612290264</v>
      </c>
      <c r="H106" s="126">
        <f t="shared" si="15"/>
        <v>579.9000000000024</v>
      </c>
      <c r="I106" s="126">
        <f t="shared" si="16"/>
        <v>1198.600000000003</v>
      </c>
      <c r="J106" s="168"/>
      <c r="K106" s="154"/>
    </row>
    <row r="107" spans="1:12" s="2" customFormat="1" ht="26.25" customHeight="1" thickBot="1">
      <c r="A107" s="67" t="s">
        <v>28</v>
      </c>
      <c r="B107" s="68">
        <f>SUM(B108:B151)-B115-B120+B152-B142-B143-B109-B112-B123-B124-B140-B133-B131-B138-B118</f>
        <v>374632.3999999999</v>
      </c>
      <c r="C107" s="68">
        <f>SUM(C108:C151)-C115-C120+C152-C142-C143-C109-C112-C123-C124-C140-C133-C131-C138-C118</f>
        <v>563472.3999999999</v>
      </c>
      <c r="D107" s="68">
        <f>SUM(D108:D151)-D115-D120+D152-D142-D143-D109-D112-D123-D124-D140-D133-D131-D138-D118</f>
        <v>253411.69999999998</v>
      </c>
      <c r="E107" s="69">
        <f>D107/D154*100</f>
        <v>21.15658565170504</v>
      </c>
      <c r="F107" s="69">
        <f>D107/B107*100</f>
        <v>67.64276127745492</v>
      </c>
      <c r="G107" s="69">
        <f t="shared" si="14"/>
        <v>44.973223178278126</v>
      </c>
      <c r="H107" s="68">
        <f t="shared" si="15"/>
        <v>121220.69999999992</v>
      </c>
      <c r="I107" s="68">
        <f t="shared" si="16"/>
        <v>310060.69999999995</v>
      </c>
      <c r="J107" s="166"/>
      <c r="K107" s="154"/>
      <c r="L107" s="97"/>
    </row>
    <row r="108" spans="1:12" s="94" customFormat="1" ht="34.5">
      <c r="A108" s="98" t="s">
        <v>52</v>
      </c>
      <c r="B108" s="162">
        <v>2837.6</v>
      </c>
      <c r="C108" s="159">
        <v>4459</v>
      </c>
      <c r="D108" s="99">
        <f>17.1+81.1+17.3+60.5+173.3+3.4+2+0.4+29.3+1.7+177.1+0.8+38.8+139.8+0.3+1.9+1.8+6.5+136+91.3+0.1+1.8+1.1+2.4+3.5+2+3.4+72.2+73.1+42.5+21.2+13.2+0.2+17.6-34.7+31.4+109.2+11.6+31.6+1.8+1.8+136.5+26+0.7+9.8+16+6.4+2.3+33+154.5+0.1-4.6+4.8</f>
        <v>1772.8999999999994</v>
      </c>
      <c r="E108" s="100">
        <f>D108/D107*100</f>
        <v>0.6996125277562163</v>
      </c>
      <c r="F108" s="100">
        <f t="shared" si="17"/>
        <v>62.47885537073582</v>
      </c>
      <c r="G108" s="100">
        <f t="shared" si="14"/>
        <v>39.76003588248485</v>
      </c>
      <c r="H108" s="101">
        <f t="shared" si="15"/>
        <v>1064.7000000000005</v>
      </c>
      <c r="I108" s="101">
        <f t="shared" si="16"/>
        <v>2686.1000000000004</v>
      </c>
      <c r="K108" s="154"/>
      <c r="L108" s="102"/>
    </row>
    <row r="109" spans="1:12" s="94" customFormat="1" ht="17.25">
      <c r="A109" s="103" t="s">
        <v>25</v>
      </c>
      <c r="B109" s="104">
        <v>1154.9</v>
      </c>
      <c r="C109" s="105">
        <v>1995</v>
      </c>
      <c r="D109" s="106">
        <f>47.8+0.9+59.7+88.3+0.1+59.2+38.8+107.4+24+91.1+38+42.5+2+31.4+47.6+36.5-21.6</f>
        <v>693.7</v>
      </c>
      <c r="E109" s="107">
        <f>D109/D108*100</f>
        <v>39.127982401714725</v>
      </c>
      <c r="F109" s="107">
        <f t="shared" si="17"/>
        <v>60.06580656333882</v>
      </c>
      <c r="G109" s="107">
        <f t="shared" si="14"/>
        <v>34.771929824561404</v>
      </c>
      <c r="H109" s="105">
        <f aca="true" t="shared" si="18" ref="H109:H152">B109-D109</f>
        <v>461.20000000000005</v>
      </c>
      <c r="I109" s="105">
        <f t="shared" si="16"/>
        <v>1301.3</v>
      </c>
      <c r="K109" s="154"/>
      <c r="L109" s="102"/>
    </row>
    <row r="110" spans="1:12" s="94" customFormat="1" ht="34.5" customHeight="1" hidden="1">
      <c r="A110" s="108" t="s">
        <v>78</v>
      </c>
      <c r="B110" s="161"/>
      <c r="C110" s="101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8"/>
        <v>0</v>
      </c>
      <c r="I110" s="101">
        <f t="shared" si="16"/>
        <v>0</v>
      </c>
      <c r="K110" s="154"/>
      <c r="L110" s="102"/>
    </row>
    <row r="111" spans="1:12" s="95" customFormat="1" ht="34.5" customHeight="1">
      <c r="A111" s="108" t="s">
        <v>93</v>
      </c>
      <c r="B111" s="163">
        <v>140.6</v>
      </c>
      <c r="C111" s="109">
        <v>200</v>
      </c>
      <c r="D111" s="110"/>
      <c r="E111" s="100">
        <f>D111/D107*100</f>
        <v>0</v>
      </c>
      <c r="F111" s="111">
        <f t="shared" si="17"/>
        <v>0</v>
      </c>
      <c r="G111" s="100">
        <f t="shared" si="14"/>
        <v>0</v>
      </c>
      <c r="H111" s="101">
        <f t="shared" si="18"/>
        <v>140.6</v>
      </c>
      <c r="I111" s="101">
        <f t="shared" si="16"/>
        <v>200</v>
      </c>
      <c r="K111" s="154"/>
      <c r="L111" s="102"/>
    </row>
    <row r="112" spans="1:12" s="94" customFormat="1" ht="17.25" hidden="1">
      <c r="A112" s="103" t="s">
        <v>25</v>
      </c>
      <c r="B112" s="160"/>
      <c r="C112" s="105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8"/>
        <v>0</v>
      </c>
      <c r="I112" s="105">
        <f t="shared" si="16"/>
        <v>0</v>
      </c>
      <c r="K112" s="154"/>
      <c r="L112" s="102"/>
    </row>
    <row r="113" spans="1:12" s="94" customFormat="1" ht="17.25">
      <c r="A113" s="108" t="s">
        <v>89</v>
      </c>
      <c r="B113" s="163">
        <v>56.7</v>
      </c>
      <c r="C113" s="101">
        <v>64.3</v>
      </c>
      <c r="D113" s="99">
        <f>6.8+7+3.6</f>
        <v>17.400000000000002</v>
      </c>
      <c r="E113" s="100">
        <f>D113/D107*100</f>
        <v>0.006866297017856714</v>
      </c>
      <c r="F113" s="100">
        <f t="shared" si="17"/>
        <v>30.68783068783069</v>
      </c>
      <c r="G113" s="100">
        <f t="shared" si="14"/>
        <v>27.06065318818041</v>
      </c>
      <c r="H113" s="101">
        <f t="shared" si="18"/>
        <v>39.3</v>
      </c>
      <c r="I113" s="101">
        <f t="shared" si="16"/>
        <v>46.89999999999999</v>
      </c>
      <c r="K113" s="154"/>
      <c r="L113" s="102"/>
    </row>
    <row r="114" spans="1:12" s="94" customFormat="1" ht="34.5">
      <c r="A114" s="108" t="s">
        <v>38</v>
      </c>
      <c r="B114" s="163">
        <v>2258.6</v>
      </c>
      <c r="C114" s="101">
        <v>3311.5</v>
      </c>
      <c r="D114" s="99">
        <f>136.4+10+40+6.6+6.1+0.2+177.4+10+1.8+25.1+29.4+48.1+8.1+193.1+10+0.1+17.8+8.8+132.4+79.7+12.6+4.3+3.5+212.4+8.1+0.4+10.8+218.3+5.3+16.4+166.6+54.3+12.8+52.1</f>
        <v>1718.9999999999998</v>
      </c>
      <c r="E114" s="100">
        <f>D114/D107*100</f>
        <v>0.6783427915917063</v>
      </c>
      <c r="F114" s="100">
        <f t="shared" si="17"/>
        <v>76.10909412910651</v>
      </c>
      <c r="G114" s="100">
        <f t="shared" si="14"/>
        <v>51.91001056922844</v>
      </c>
      <c r="H114" s="101">
        <f t="shared" si="18"/>
        <v>539.6000000000001</v>
      </c>
      <c r="I114" s="101">
        <f t="shared" si="16"/>
        <v>1592.5000000000002</v>
      </c>
      <c r="K114" s="154"/>
      <c r="L114" s="102"/>
    </row>
    <row r="115" spans="1:12" s="94" customFormat="1" ht="17.25" hidden="1">
      <c r="A115" s="112" t="s">
        <v>43</v>
      </c>
      <c r="B115" s="160"/>
      <c r="C115" s="105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8"/>
        <v>0</v>
      </c>
      <c r="I115" s="105">
        <f t="shared" si="16"/>
        <v>0</v>
      </c>
      <c r="K115" s="154"/>
      <c r="L115" s="102"/>
    </row>
    <row r="116" spans="1:12" s="95" customFormat="1" ht="18.75" customHeight="1" hidden="1">
      <c r="A116" s="108" t="s">
        <v>90</v>
      </c>
      <c r="B116" s="161"/>
      <c r="C116" s="109"/>
      <c r="D116" s="110"/>
      <c r="E116" s="113">
        <f>D116/D107*100</f>
        <v>0</v>
      </c>
      <c r="F116" s="100" t="e">
        <f t="shared" si="17"/>
        <v>#DIV/0!</v>
      </c>
      <c r="G116" s="113" t="e">
        <f t="shared" si="14"/>
        <v>#DIV/0!</v>
      </c>
      <c r="H116" s="109">
        <f t="shared" si="18"/>
        <v>0</v>
      </c>
      <c r="I116" s="109">
        <f t="shared" si="16"/>
        <v>0</v>
      </c>
      <c r="K116" s="154"/>
      <c r="L116" s="102"/>
    </row>
    <row r="117" spans="1:12" s="94" customFormat="1" ht="34.5">
      <c r="A117" s="108" t="s">
        <v>47</v>
      </c>
      <c r="B117" s="163">
        <v>200</v>
      </c>
      <c r="C117" s="101">
        <v>200</v>
      </c>
      <c r="D117" s="99">
        <f>15+40+1.2+1.8</f>
        <v>58</v>
      </c>
      <c r="E117" s="100">
        <f>D117/D107*100</f>
        <v>0.022887656726189042</v>
      </c>
      <c r="F117" s="100">
        <f>D117/B117*100</f>
        <v>28.999999999999996</v>
      </c>
      <c r="G117" s="100">
        <f t="shared" si="14"/>
        <v>28.999999999999996</v>
      </c>
      <c r="H117" s="101">
        <f t="shared" si="18"/>
        <v>142</v>
      </c>
      <c r="I117" s="101">
        <f t="shared" si="16"/>
        <v>142</v>
      </c>
      <c r="K117" s="154"/>
      <c r="L117" s="102"/>
    </row>
    <row r="118" spans="1:12" s="94" customFormat="1" ht="17.25">
      <c r="A118" s="112" t="s">
        <v>88</v>
      </c>
      <c r="B118" s="104">
        <v>40</v>
      </c>
      <c r="C118" s="105">
        <v>40</v>
      </c>
      <c r="D118" s="106">
        <v>40</v>
      </c>
      <c r="E118" s="107">
        <f>D118/D117*100</f>
        <v>68.96551724137932</v>
      </c>
      <c r="F118" s="107">
        <f>D118/B118*100</f>
        <v>100</v>
      </c>
      <c r="G118" s="107">
        <f>D118/C118*100</f>
        <v>100</v>
      </c>
      <c r="H118" s="105">
        <f>B118-D118</f>
        <v>0</v>
      </c>
      <c r="I118" s="105">
        <f>C118-D118</f>
        <v>0</v>
      </c>
      <c r="K118" s="154"/>
      <c r="L118" s="102"/>
    </row>
    <row r="119" spans="1:12" s="114" customFormat="1" ht="17.25">
      <c r="A119" s="108" t="s">
        <v>15</v>
      </c>
      <c r="B119" s="163">
        <v>283</v>
      </c>
      <c r="C119" s="109">
        <v>491.6</v>
      </c>
      <c r="D119" s="99">
        <f>45.4+9.9+47+6.4+0.4+0.4+45.4+0.4+2.9+45.4+4+6.8+0.4+45.4+0.1+5.8+0.8+0.4+0.8+0.7+13+0.4</f>
        <v>282.20000000000005</v>
      </c>
      <c r="E119" s="100">
        <f>D119/D107*100</f>
        <v>0.11136028841604395</v>
      </c>
      <c r="F119" s="100">
        <f t="shared" si="17"/>
        <v>99.71731448763252</v>
      </c>
      <c r="G119" s="100">
        <f t="shared" si="14"/>
        <v>57.40439381611067</v>
      </c>
      <c r="H119" s="101">
        <f t="shared" si="18"/>
        <v>0.7999999999999545</v>
      </c>
      <c r="I119" s="101">
        <f t="shared" si="16"/>
        <v>209.39999999999998</v>
      </c>
      <c r="K119" s="154"/>
      <c r="L119" s="102"/>
    </row>
    <row r="120" spans="1:12" s="115" customFormat="1" ht="17.25">
      <c r="A120" s="112" t="s">
        <v>43</v>
      </c>
      <c r="B120" s="104">
        <v>227.1</v>
      </c>
      <c r="C120" s="105">
        <v>408.8</v>
      </c>
      <c r="D120" s="106">
        <f>45.4+45.4+45.4+45.4+45.4+0.1</f>
        <v>227.1</v>
      </c>
      <c r="E120" s="107">
        <f>D120/D119*100</f>
        <v>80.47484053862507</v>
      </c>
      <c r="F120" s="107">
        <f t="shared" si="17"/>
        <v>100</v>
      </c>
      <c r="G120" s="107">
        <f t="shared" si="14"/>
        <v>55.55283757338552</v>
      </c>
      <c r="H120" s="105">
        <f t="shared" si="18"/>
        <v>0</v>
      </c>
      <c r="I120" s="105">
        <f t="shared" si="16"/>
        <v>181.70000000000002</v>
      </c>
      <c r="K120" s="154"/>
      <c r="L120" s="102"/>
    </row>
    <row r="121" spans="1:12" s="114" customFormat="1" ht="17.25">
      <c r="A121" s="108" t="s">
        <v>105</v>
      </c>
      <c r="B121" s="163">
        <v>205</v>
      </c>
      <c r="C121" s="109">
        <v>317</v>
      </c>
      <c r="D121" s="99">
        <v>3.6</v>
      </c>
      <c r="E121" s="100">
        <f>D121/D107*100</f>
        <v>0.0014206131761082855</v>
      </c>
      <c r="F121" s="100">
        <f t="shared" si="17"/>
        <v>1.75609756097561</v>
      </c>
      <c r="G121" s="100">
        <f t="shared" si="14"/>
        <v>1.135646687697161</v>
      </c>
      <c r="H121" s="101">
        <f t="shared" si="18"/>
        <v>201.4</v>
      </c>
      <c r="I121" s="101">
        <f t="shared" si="16"/>
        <v>313.4</v>
      </c>
      <c r="K121" s="154"/>
      <c r="L121" s="102"/>
    </row>
    <row r="122" spans="1:12" s="114" customFormat="1" ht="21.75" customHeight="1">
      <c r="A122" s="108" t="s">
        <v>94</v>
      </c>
      <c r="B122" s="163">
        <v>480</v>
      </c>
      <c r="C122" s="109">
        <f>480+80</f>
        <v>560</v>
      </c>
      <c r="D122" s="110">
        <f>12+360.2</f>
        <v>372.2</v>
      </c>
      <c r="E122" s="113">
        <f>D122/D107*100</f>
        <v>0.14687561781875105</v>
      </c>
      <c r="F122" s="100">
        <f t="shared" si="17"/>
        <v>77.54166666666666</v>
      </c>
      <c r="G122" s="100">
        <f t="shared" si="14"/>
        <v>66.46428571428571</v>
      </c>
      <c r="H122" s="101">
        <f t="shared" si="18"/>
        <v>107.80000000000001</v>
      </c>
      <c r="I122" s="101">
        <f t="shared" si="16"/>
        <v>187.8</v>
      </c>
      <c r="J122" s="166"/>
      <c r="K122" s="154">
        <f>H108+H111+H113+H114+H117+H119+H121+H126+H127+H128+H130+H132+H136+H137+H139+H69</f>
        <v>4002.6000000000004</v>
      </c>
      <c r="L122" s="102"/>
    </row>
    <row r="123" spans="1:12" s="117" customFormat="1" ht="17.25" hidden="1">
      <c r="A123" s="103" t="s">
        <v>80</v>
      </c>
      <c r="B123" s="160"/>
      <c r="C123" s="105"/>
      <c r="D123" s="106"/>
      <c r="E123" s="100"/>
      <c r="F123" s="116" t="e">
        <f>D123/B123*100</f>
        <v>#DIV/0!</v>
      </c>
      <c r="G123" s="107" t="e">
        <f t="shared" si="14"/>
        <v>#DIV/0!</v>
      </c>
      <c r="H123" s="105">
        <f t="shared" si="18"/>
        <v>0</v>
      </c>
      <c r="I123" s="105">
        <f t="shared" si="16"/>
        <v>0</v>
      </c>
      <c r="K123" s="154"/>
      <c r="L123" s="102"/>
    </row>
    <row r="124" spans="1:12" s="117" customFormat="1" ht="17.25" hidden="1">
      <c r="A124" s="103" t="s">
        <v>49</v>
      </c>
      <c r="B124" s="160"/>
      <c r="C124" s="105"/>
      <c r="D124" s="106"/>
      <c r="E124" s="100"/>
      <c r="F124" s="107" t="e">
        <f>D124/B124*100</f>
        <v>#DIV/0!</v>
      </c>
      <c r="G124" s="107" t="e">
        <f t="shared" si="14"/>
        <v>#DIV/0!</v>
      </c>
      <c r="H124" s="105">
        <f t="shared" si="18"/>
        <v>0</v>
      </c>
      <c r="I124" s="105">
        <f t="shared" si="16"/>
        <v>0</v>
      </c>
      <c r="K124" s="154"/>
      <c r="L124" s="102"/>
    </row>
    <row r="125" spans="1:12" s="114" customFormat="1" ht="34.5">
      <c r="A125" s="108" t="s">
        <v>95</v>
      </c>
      <c r="B125" s="163">
        <f>34989.8+800</f>
        <v>35789.8</v>
      </c>
      <c r="C125" s="109">
        <v>45511.3</v>
      </c>
      <c r="D125" s="110">
        <f>3529.6+2264.3+1265.3+2996.5+533.1+738.7+2380.2+1722.3+1049.4+1874.1+1476.2+1455.5+94.4+1416+1268.6+1913.6+457.2+1108.2+2510.4+39.4+1337.2+1221</f>
        <v>32651.200000000004</v>
      </c>
      <c r="E125" s="113">
        <f>D125/D107*100</f>
        <v>12.884645815485237</v>
      </c>
      <c r="F125" s="100">
        <f t="shared" si="17"/>
        <v>91.23046231049071</v>
      </c>
      <c r="G125" s="100">
        <f t="shared" si="14"/>
        <v>71.74306161326967</v>
      </c>
      <c r="H125" s="101">
        <f t="shared" si="18"/>
        <v>3138.5999999999985</v>
      </c>
      <c r="I125" s="101">
        <f t="shared" si="16"/>
        <v>12860.099999999999</v>
      </c>
      <c r="K125" s="154"/>
      <c r="L125" s="102"/>
    </row>
    <row r="126" spans="1:12" s="114" customFormat="1" ht="17.25">
      <c r="A126" s="108" t="s">
        <v>91</v>
      </c>
      <c r="B126" s="163">
        <v>670</v>
      </c>
      <c r="C126" s="109">
        <v>700</v>
      </c>
      <c r="D126" s="110">
        <f>9.6+1.5</f>
        <v>11.1</v>
      </c>
      <c r="E126" s="113">
        <f>D126/D107*100</f>
        <v>0.004380223959667214</v>
      </c>
      <c r="F126" s="100">
        <f t="shared" si="17"/>
        <v>1.6567164179104477</v>
      </c>
      <c r="G126" s="100">
        <f t="shared" si="14"/>
        <v>1.5857142857142859</v>
      </c>
      <c r="H126" s="101">
        <f t="shared" si="18"/>
        <v>658.9</v>
      </c>
      <c r="I126" s="101">
        <f t="shared" si="16"/>
        <v>688.9</v>
      </c>
      <c r="K126" s="154"/>
      <c r="L126" s="102"/>
    </row>
    <row r="127" spans="1:12" s="114" customFormat="1" ht="34.5">
      <c r="A127" s="108" t="s">
        <v>100</v>
      </c>
      <c r="B127" s="163">
        <v>142</v>
      </c>
      <c r="C127" s="109">
        <v>200</v>
      </c>
      <c r="D127" s="110">
        <v>63.1</v>
      </c>
      <c r="E127" s="113">
        <f>D127/D107*100</f>
        <v>0.02490019205900912</v>
      </c>
      <c r="F127" s="100">
        <f t="shared" si="17"/>
        <v>44.43661971830986</v>
      </c>
      <c r="G127" s="100">
        <f t="shared" si="14"/>
        <v>31.55</v>
      </c>
      <c r="H127" s="101">
        <f t="shared" si="18"/>
        <v>78.9</v>
      </c>
      <c r="I127" s="101">
        <f t="shared" si="16"/>
        <v>136.9</v>
      </c>
      <c r="K127" s="154"/>
      <c r="L127" s="102"/>
    </row>
    <row r="128" spans="1:12" s="114" customFormat="1" ht="34.5">
      <c r="A128" s="108" t="s">
        <v>85</v>
      </c>
      <c r="B128" s="163">
        <v>111.1</v>
      </c>
      <c r="C128" s="109">
        <f>111.1</f>
        <v>111.1</v>
      </c>
      <c r="D128" s="110">
        <v>34.5</v>
      </c>
      <c r="E128" s="113">
        <f>D128/D107*100</f>
        <v>0.013614209604371071</v>
      </c>
      <c r="F128" s="100">
        <f t="shared" si="17"/>
        <v>31.053105310531055</v>
      </c>
      <c r="G128" s="100">
        <f t="shared" si="14"/>
        <v>31.053105310531055</v>
      </c>
      <c r="H128" s="101">
        <f t="shared" si="18"/>
        <v>76.6</v>
      </c>
      <c r="I128" s="101">
        <f t="shared" si="16"/>
        <v>76.6</v>
      </c>
      <c r="K128" s="154"/>
      <c r="L128" s="102"/>
    </row>
    <row r="129" spans="1:12" s="114" customFormat="1" ht="17.25" hidden="1">
      <c r="A129" s="112" t="s">
        <v>83</v>
      </c>
      <c r="B129" s="161"/>
      <c r="C129" s="109"/>
      <c r="D129" s="110"/>
      <c r="E129" s="113">
        <f>D129/D108*100</f>
        <v>0</v>
      </c>
      <c r="F129" s="100" t="e">
        <f t="shared" si="17"/>
        <v>#DIV/0!</v>
      </c>
      <c r="G129" s="100" t="e">
        <f t="shared" si="14"/>
        <v>#DIV/0!</v>
      </c>
      <c r="H129" s="101">
        <f t="shared" si="18"/>
        <v>0</v>
      </c>
      <c r="I129" s="101">
        <f t="shared" si="16"/>
        <v>0</v>
      </c>
      <c r="K129" s="154"/>
      <c r="L129" s="102"/>
    </row>
    <row r="130" spans="1:12" s="114" customFormat="1" ht="34.5">
      <c r="A130" s="108" t="s">
        <v>57</v>
      </c>
      <c r="B130" s="163">
        <v>587.2</v>
      </c>
      <c r="C130" s="109">
        <v>942</v>
      </c>
      <c r="D130" s="110">
        <f>7+4.2+0.1+12.3+0.2+7.1+17.8+14.9+1.7+0.1+7.4+7+2.7+3.7+7.1+5.3+31.3+16.4+2.5+1.7+26.7+0.1+13.8+0.1+2.9+6.5+0.6+7+4.8+0.1+17.3+0.5+7.6+29.1+0.2+0.1+7.4+1+0.1+0.2</f>
        <v>276.6</v>
      </c>
      <c r="E130" s="113">
        <f>D130/D107*100</f>
        <v>0.10915044569765328</v>
      </c>
      <c r="F130" s="100">
        <f t="shared" si="17"/>
        <v>47.10490463215259</v>
      </c>
      <c r="G130" s="100">
        <f t="shared" si="14"/>
        <v>29.363057324840767</v>
      </c>
      <c r="H130" s="101">
        <f t="shared" si="18"/>
        <v>310.6</v>
      </c>
      <c r="I130" s="101">
        <f t="shared" si="16"/>
        <v>665.4</v>
      </c>
      <c r="K130" s="154"/>
      <c r="L130" s="102"/>
    </row>
    <row r="131" spans="1:12" s="115" customFormat="1" ht="17.25">
      <c r="A131" s="103" t="s">
        <v>88</v>
      </c>
      <c r="B131" s="104">
        <v>294.6</v>
      </c>
      <c r="C131" s="105">
        <v>510.8</v>
      </c>
      <c r="D131" s="106">
        <f>7+7.1+7+7.1+7+7+7.4</f>
        <v>49.6</v>
      </c>
      <c r="E131" s="107">
        <f>D131/D130*100</f>
        <v>17.932031814895154</v>
      </c>
      <c r="F131" s="107">
        <f>D131/B131*100</f>
        <v>16.836388323150032</v>
      </c>
      <c r="G131" s="107">
        <f t="shared" si="14"/>
        <v>9.71025841816758</v>
      </c>
      <c r="H131" s="105">
        <f t="shared" si="18"/>
        <v>245.00000000000003</v>
      </c>
      <c r="I131" s="105">
        <f t="shared" si="16"/>
        <v>461.2</v>
      </c>
      <c r="K131" s="154"/>
      <c r="L131" s="102"/>
    </row>
    <row r="132" spans="1:12" s="114" customFormat="1" ht="34.5">
      <c r="A132" s="108" t="s">
        <v>103</v>
      </c>
      <c r="B132" s="163">
        <v>305</v>
      </c>
      <c r="C132" s="109">
        <v>485</v>
      </c>
      <c r="D132" s="110"/>
      <c r="E132" s="113">
        <f>D132/D107*100</f>
        <v>0</v>
      </c>
      <c r="F132" s="111">
        <f t="shared" si="17"/>
        <v>0</v>
      </c>
      <c r="G132" s="100">
        <f t="shared" si="14"/>
        <v>0</v>
      </c>
      <c r="H132" s="101">
        <f t="shared" si="18"/>
        <v>305</v>
      </c>
      <c r="I132" s="101">
        <f t="shared" si="16"/>
        <v>485</v>
      </c>
      <c r="K132" s="154"/>
      <c r="L132" s="102">
        <f>H140+H109</f>
        <v>500.00000000000006</v>
      </c>
    </row>
    <row r="133" spans="1:12" s="115" customFormat="1" ht="17.25" hidden="1">
      <c r="A133" s="112" t="s">
        <v>43</v>
      </c>
      <c r="B133" s="160"/>
      <c r="C133" s="105"/>
      <c r="D133" s="106"/>
      <c r="E133" s="107"/>
      <c r="F133" s="107" t="e">
        <f>D133/B133*100</f>
        <v>#DIV/0!</v>
      </c>
      <c r="G133" s="107" t="e">
        <f t="shared" si="14"/>
        <v>#DIV/0!</v>
      </c>
      <c r="H133" s="105">
        <f t="shared" si="18"/>
        <v>0</v>
      </c>
      <c r="I133" s="105">
        <f t="shared" si="16"/>
        <v>0</v>
      </c>
      <c r="K133" s="154"/>
      <c r="L133" s="102"/>
    </row>
    <row r="134" spans="1:12" s="114" customFormat="1" ht="35.25" customHeight="1" hidden="1">
      <c r="A134" s="108" t="s">
        <v>102</v>
      </c>
      <c r="B134" s="161"/>
      <c r="C134" s="109"/>
      <c r="D134" s="110"/>
      <c r="E134" s="113">
        <f>D134/D107*100</f>
        <v>0</v>
      </c>
      <c r="F134" s="100" t="e">
        <f t="shared" si="17"/>
        <v>#DIV/0!</v>
      </c>
      <c r="G134" s="100" t="e">
        <f t="shared" si="14"/>
        <v>#DIV/0!</v>
      </c>
      <c r="H134" s="101">
        <f t="shared" si="18"/>
        <v>0</v>
      </c>
      <c r="I134" s="101">
        <f>C134-D134</f>
        <v>0</v>
      </c>
      <c r="K134" s="154"/>
      <c r="L134" s="102"/>
    </row>
    <row r="135" spans="1:12" s="114" customFormat="1" ht="21.75" customHeight="1" hidden="1">
      <c r="A135" s="108" t="s">
        <v>101</v>
      </c>
      <c r="B135" s="161"/>
      <c r="C135" s="109"/>
      <c r="D135" s="110"/>
      <c r="E135" s="113">
        <f>D135/D107*100</f>
        <v>0</v>
      </c>
      <c r="F135" s="100" t="e">
        <f t="shared" si="17"/>
        <v>#DIV/0!</v>
      </c>
      <c r="G135" s="100" t="e">
        <f t="shared" si="14"/>
        <v>#DIV/0!</v>
      </c>
      <c r="H135" s="101">
        <f t="shared" si="18"/>
        <v>0</v>
      </c>
      <c r="I135" s="101">
        <f t="shared" si="16"/>
        <v>0</v>
      </c>
      <c r="K135" s="154"/>
      <c r="L135" s="102"/>
    </row>
    <row r="136" spans="1:12" s="114" customFormat="1" ht="35.25" customHeight="1">
      <c r="A136" s="108" t="s">
        <v>87</v>
      </c>
      <c r="B136" s="163">
        <v>245</v>
      </c>
      <c r="C136" s="109">
        <v>383.2</v>
      </c>
      <c r="D136" s="110">
        <f>2.9+1.5+9.7+8.2+0.2-0.4+16+13.6+102.3</f>
        <v>154</v>
      </c>
      <c r="E136" s="113">
        <f>D136/D107*100</f>
        <v>0.060770674755743326</v>
      </c>
      <c r="F136" s="100">
        <f t="shared" si="17"/>
        <v>62.857142857142854</v>
      </c>
      <c r="G136" s="100">
        <f t="shared" si="14"/>
        <v>40.18789144050105</v>
      </c>
      <c r="H136" s="101">
        <f t="shared" si="18"/>
        <v>91</v>
      </c>
      <c r="I136" s="101">
        <f t="shared" si="16"/>
        <v>229.2</v>
      </c>
      <c r="K136" s="154"/>
      <c r="L136" s="102"/>
    </row>
    <row r="137" spans="1:12" s="114" customFormat="1" ht="39" customHeight="1">
      <c r="A137" s="108" t="s">
        <v>54</v>
      </c>
      <c r="B137" s="163">
        <v>200</v>
      </c>
      <c r="C137" s="109">
        <v>350</v>
      </c>
      <c r="D137" s="110">
        <f>3.7+1.9+30+0.6+12.1</f>
        <v>48.300000000000004</v>
      </c>
      <c r="E137" s="113">
        <f>D137/D107*100</f>
        <v>0.0190598934461195</v>
      </c>
      <c r="F137" s="100">
        <f t="shared" si="17"/>
        <v>24.150000000000002</v>
      </c>
      <c r="G137" s="100">
        <f t="shared" si="14"/>
        <v>13.8</v>
      </c>
      <c r="H137" s="101">
        <f t="shared" si="18"/>
        <v>151.7</v>
      </c>
      <c r="I137" s="101">
        <f t="shared" si="16"/>
        <v>301.7</v>
      </c>
      <c r="K137" s="154"/>
      <c r="L137" s="102"/>
    </row>
    <row r="138" spans="1:12" s="115" customFormat="1" ht="17.25">
      <c r="A138" s="103" t="s">
        <v>88</v>
      </c>
      <c r="B138" s="104">
        <v>61.9</v>
      </c>
      <c r="C138" s="105">
        <v>110</v>
      </c>
      <c r="D138" s="106">
        <f>3.7+1.9+12.1</f>
        <v>17.7</v>
      </c>
      <c r="E138" s="107"/>
      <c r="F138" s="100">
        <f>D138/B138*100</f>
        <v>28.594507269789982</v>
      </c>
      <c r="G138" s="107">
        <f>D138/C138*100</f>
        <v>16.09090909090909</v>
      </c>
      <c r="H138" s="105">
        <f>B138-D138</f>
        <v>44.2</v>
      </c>
      <c r="I138" s="105">
        <f>C138-D138</f>
        <v>92.3</v>
      </c>
      <c r="K138" s="154"/>
      <c r="L138" s="102"/>
    </row>
    <row r="139" spans="1:12" s="114" customFormat="1" ht="32.25" customHeight="1">
      <c r="A139" s="108" t="s">
        <v>84</v>
      </c>
      <c r="B139" s="163">
        <v>420.1</v>
      </c>
      <c r="C139" s="109">
        <v>607.7</v>
      </c>
      <c r="D139" s="110">
        <f>76+0.3+41+44+1.8+16.3+2.4+30+0.6+0.2+27.4+0.2+4.5-0.2+31.4+4.5+7.9+26.6+4.5+0.5+26.6+0.3</f>
        <v>346.80000000000007</v>
      </c>
      <c r="E139" s="113">
        <f>D139/D107*100</f>
        <v>0.13685240263176487</v>
      </c>
      <c r="F139" s="100">
        <f>D139/B139*100</f>
        <v>82.55177338728875</v>
      </c>
      <c r="G139" s="100">
        <f>D139/C139*100</f>
        <v>57.06763205529045</v>
      </c>
      <c r="H139" s="101">
        <f t="shared" si="18"/>
        <v>73.29999999999995</v>
      </c>
      <c r="I139" s="101">
        <f t="shared" si="16"/>
        <v>260.9</v>
      </c>
      <c r="K139" s="154"/>
      <c r="L139" s="102"/>
    </row>
    <row r="140" spans="1:12" s="115" customFormat="1" ht="17.25">
      <c r="A140" s="103" t="s">
        <v>25</v>
      </c>
      <c r="B140" s="104">
        <v>339.4</v>
      </c>
      <c r="C140" s="105">
        <v>489.6</v>
      </c>
      <c r="D140" s="106">
        <f>76+37.6+44+1.2+0.7+30+27.4+30.6+0.6+26+0.5+26</f>
        <v>300.59999999999997</v>
      </c>
      <c r="E140" s="107">
        <f>D140/D139*100</f>
        <v>86.6782006920415</v>
      </c>
      <c r="F140" s="107">
        <f t="shared" si="17"/>
        <v>88.56806128461992</v>
      </c>
      <c r="G140" s="107">
        <f>D140/C140*100</f>
        <v>61.397058823529406</v>
      </c>
      <c r="H140" s="105">
        <f t="shared" si="18"/>
        <v>38.80000000000001</v>
      </c>
      <c r="I140" s="105">
        <f t="shared" si="16"/>
        <v>189.00000000000006</v>
      </c>
      <c r="K140" s="154"/>
      <c r="L140" s="102"/>
    </row>
    <row r="141" spans="1:12" s="114" customFormat="1" ht="17.25">
      <c r="A141" s="108" t="s">
        <v>96</v>
      </c>
      <c r="B141" s="163">
        <v>1234.3</v>
      </c>
      <c r="C141" s="109">
        <v>1760</v>
      </c>
      <c r="D141" s="110">
        <f>107.3+0.4+30.4+78.2+4.1+36.9+117.9+50.5+112.6+5.2+52.3+10.5+76.8-0.2+10.4+82.9+84+50.5+35.7+3.4+90.4+1.3+74.9</f>
        <v>1116.4</v>
      </c>
      <c r="E141" s="113">
        <f>D141/D107*100</f>
        <v>0.44054793050202506</v>
      </c>
      <c r="F141" s="100">
        <f t="shared" si="17"/>
        <v>90.44802722190717</v>
      </c>
      <c r="G141" s="100">
        <f t="shared" si="14"/>
        <v>63.43181818181819</v>
      </c>
      <c r="H141" s="101">
        <f t="shared" si="18"/>
        <v>117.89999999999986</v>
      </c>
      <c r="I141" s="101">
        <f t="shared" si="16"/>
        <v>643.5999999999999</v>
      </c>
      <c r="J141" s="166"/>
      <c r="K141" s="154"/>
      <c r="L141" s="102"/>
    </row>
    <row r="142" spans="1:12" s="115" customFormat="1" ht="17.25">
      <c r="A142" s="112" t="s">
        <v>43</v>
      </c>
      <c r="B142" s="104">
        <v>998.5</v>
      </c>
      <c r="C142" s="105">
        <v>1437.4</v>
      </c>
      <c r="D142" s="106">
        <f>107.3+25.4+76+34+76.6+47.2+83.8+4.5+35.4+76.8-0.2+60.7+81+50.4+90.4+52.9</f>
        <v>902.1999999999998</v>
      </c>
      <c r="E142" s="107">
        <f>D142/D141*100</f>
        <v>80.81332855607307</v>
      </c>
      <c r="F142" s="107">
        <f aca="true" t="shared" si="19" ref="F142:F151">D142/B142*100</f>
        <v>90.35553329994991</v>
      </c>
      <c r="G142" s="107">
        <f t="shared" si="14"/>
        <v>62.76610546820647</v>
      </c>
      <c r="H142" s="105">
        <f t="shared" si="18"/>
        <v>96.30000000000018</v>
      </c>
      <c r="I142" s="105">
        <f t="shared" si="16"/>
        <v>535.2000000000003</v>
      </c>
      <c r="J142" s="167"/>
      <c r="K142" s="154"/>
      <c r="L142" s="102">
        <f>B108+B111+B114+B117+B119+B126+B127+B128+B130+B136+B71+B132+B137+B121+B113+B139+B70</f>
        <v>9017.1</v>
      </c>
    </row>
    <row r="143" spans="1:13" s="115" customFormat="1" ht="17.25">
      <c r="A143" s="103" t="s">
        <v>25</v>
      </c>
      <c r="B143" s="104">
        <v>28.2</v>
      </c>
      <c r="C143" s="105">
        <v>40</v>
      </c>
      <c r="D143" s="106">
        <f>0.4+4.9+0.7+4.7+3.3+0.4+0.7+0.6+0.1+0.1</f>
        <v>15.899999999999999</v>
      </c>
      <c r="E143" s="107">
        <f>D143/D141*100</f>
        <v>1.4242207094231456</v>
      </c>
      <c r="F143" s="107">
        <f t="shared" si="19"/>
        <v>56.38297872340425</v>
      </c>
      <c r="G143" s="107">
        <f>D143/C143*100</f>
        <v>39.75</v>
      </c>
      <c r="H143" s="105">
        <f t="shared" si="18"/>
        <v>12.3</v>
      </c>
      <c r="I143" s="105">
        <f t="shared" si="16"/>
        <v>24.1</v>
      </c>
      <c r="J143" s="167"/>
      <c r="K143" s="154"/>
      <c r="L143" s="102"/>
      <c r="M143" s="155"/>
    </row>
    <row r="144" spans="1:12" s="114" customFormat="1" ht="33.75" customHeight="1">
      <c r="A144" s="118" t="s">
        <v>56</v>
      </c>
      <c r="B144" s="163">
        <f>90+7.5+527</f>
        <v>624.5</v>
      </c>
      <c r="C144" s="109">
        <f>90+534.5</f>
        <v>624.5</v>
      </c>
      <c r="D144" s="110">
        <f>7.5+527</f>
        <v>534.5</v>
      </c>
      <c r="E144" s="113">
        <f>D144/D107*100</f>
        <v>0.21092159517496628</v>
      </c>
      <c r="F144" s="100">
        <f t="shared" si="19"/>
        <v>85.58847077662129</v>
      </c>
      <c r="G144" s="100">
        <f t="shared" si="14"/>
        <v>85.58847077662129</v>
      </c>
      <c r="H144" s="101">
        <f t="shared" si="18"/>
        <v>90</v>
      </c>
      <c r="I144" s="101">
        <f t="shared" si="16"/>
        <v>90</v>
      </c>
      <c r="J144" s="166"/>
      <c r="K144" s="154"/>
      <c r="L144" s="102"/>
    </row>
    <row r="145" spans="1:12" s="114" customFormat="1" ht="17.25" hidden="1">
      <c r="A145" s="118" t="s">
        <v>92</v>
      </c>
      <c r="B145" s="161"/>
      <c r="C145" s="109"/>
      <c r="D145" s="110"/>
      <c r="E145" s="113">
        <f>D145/D107*100</f>
        <v>0</v>
      </c>
      <c r="F145" s="100" t="e">
        <f>D145/B145*100</f>
        <v>#DIV/0!</v>
      </c>
      <c r="G145" s="100" t="e">
        <f t="shared" si="14"/>
        <v>#DIV/0!</v>
      </c>
      <c r="H145" s="101">
        <f t="shared" si="18"/>
        <v>0</v>
      </c>
      <c r="I145" s="101">
        <f t="shared" si="16"/>
        <v>0</v>
      </c>
      <c r="J145" s="166"/>
      <c r="K145" s="154"/>
      <c r="L145" s="102"/>
    </row>
    <row r="146" spans="1:12" s="114" customFormat="1" ht="17.25">
      <c r="A146" s="118" t="s">
        <v>97</v>
      </c>
      <c r="B146" s="163">
        <f>37434.2+5671.6</f>
        <v>43105.799999999996</v>
      </c>
      <c r="C146" s="109">
        <f>56447.1-100+1500-3000+10865.4+0.1</f>
        <v>65712.6</v>
      </c>
      <c r="D146" s="110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</f>
        <v>35717.3</v>
      </c>
      <c r="E146" s="113">
        <f>D146/D107*100</f>
        <v>14.094574165281243</v>
      </c>
      <c r="F146" s="100">
        <f t="shared" si="19"/>
        <v>82.85961517939583</v>
      </c>
      <c r="G146" s="100">
        <f t="shared" si="14"/>
        <v>54.3538073367969</v>
      </c>
      <c r="H146" s="101">
        <f t="shared" si="18"/>
        <v>7388.499999999993</v>
      </c>
      <c r="I146" s="101">
        <f t="shared" si="16"/>
        <v>29995.300000000003</v>
      </c>
      <c r="J146" s="166"/>
      <c r="K146" s="154"/>
      <c r="L146" s="102"/>
    </row>
    <row r="147" spans="1:12" s="114" customFormat="1" ht="17.25" hidden="1">
      <c r="A147" s="118" t="s">
        <v>86</v>
      </c>
      <c r="B147" s="161"/>
      <c r="C147" s="109"/>
      <c r="D147" s="110"/>
      <c r="E147" s="113">
        <f>D147/D107*100</f>
        <v>0</v>
      </c>
      <c r="F147" s="100" t="e">
        <f t="shared" si="19"/>
        <v>#DIV/0!</v>
      </c>
      <c r="G147" s="100" t="e">
        <f t="shared" si="14"/>
        <v>#DIV/0!</v>
      </c>
      <c r="H147" s="101">
        <f t="shared" si="18"/>
        <v>0</v>
      </c>
      <c r="I147" s="101">
        <f t="shared" si="16"/>
        <v>0</v>
      </c>
      <c r="J147" s="166"/>
      <c r="K147" s="154"/>
      <c r="L147" s="102"/>
    </row>
    <row r="148" spans="1:12" s="114" customFormat="1" ht="34.5" hidden="1">
      <c r="A148" s="118" t="s">
        <v>104</v>
      </c>
      <c r="B148" s="161"/>
      <c r="C148" s="109"/>
      <c r="D148" s="110"/>
      <c r="E148" s="113">
        <f>D148/D109*100</f>
        <v>0</v>
      </c>
      <c r="F148" s="100" t="e">
        <f>D148/B148*100</f>
        <v>#DIV/0!</v>
      </c>
      <c r="G148" s="100" t="e">
        <f>D148/C148*100</f>
        <v>#DIV/0!</v>
      </c>
      <c r="H148" s="101">
        <f>B148-D148</f>
        <v>0</v>
      </c>
      <c r="I148" s="101">
        <f>C148-D148</f>
        <v>0</v>
      </c>
      <c r="J148" s="166"/>
      <c r="K148" s="154"/>
      <c r="L148" s="102"/>
    </row>
    <row r="149" spans="1:12" s="114" customFormat="1" ht="17.25">
      <c r="A149" s="108" t="s">
        <v>98</v>
      </c>
      <c r="B149" s="163">
        <v>89.4</v>
      </c>
      <c r="C149" s="109">
        <v>162.3</v>
      </c>
      <c r="D149" s="110">
        <f>46.4+43</f>
        <v>89.4</v>
      </c>
      <c r="E149" s="113">
        <f>D149/D107*100</f>
        <v>0.03527856054002242</v>
      </c>
      <c r="F149" s="100">
        <f t="shared" si="19"/>
        <v>100</v>
      </c>
      <c r="G149" s="100">
        <f t="shared" si="14"/>
        <v>55.08317929759704</v>
      </c>
      <c r="H149" s="101">
        <f t="shared" si="18"/>
        <v>0</v>
      </c>
      <c r="I149" s="101">
        <f t="shared" si="16"/>
        <v>72.9</v>
      </c>
      <c r="J149" s="166"/>
      <c r="K149" s="154"/>
      <c r="L149" s="102"/>
    </row>
    <row r="150" spans="1:12" s="114" customFormat="1" ht="18" customHeight="1">
      <c r="A150" s="108" t="s">
        <v>77</v>
      </c>
      <c r="B150" s="163">
        <v>8262.7</v>
      </c>
      <c r="C150" s="109">
        <f>10563.8+657.7</f>
        <v>11221.5</v>
      </c>
      <c r="D150" s="110">
        <f>791.9+575.3+777.6+830.9+722.1+47.7+657.7+821-47.6+744.9+750.8</f>
        <v>6672.299999999999</v>
      </c>
      <c r="E150" s="113">
        <f>D150/D107*100</f>
        <v>2.6329881374853645</v>
      </c>
      <c r="F150" s="100">
        <f t="shared" si="19"/>
        <v>80.75205441320632</v>
      </c>
      <c r="G150" s="100">
        <f t="shared" si="14"/>
        <v>59.45996524528806</v>
      </c>
      <c r="H150" s="101">
        <f t="shared" si="18"/>
        <v>1590.4000000000015</v>
      </c>
      <c r="I150" s="101">
        <f t="shared" si="16"/>
        <v>4549.200000000001</v>
      </c>
      <c r="J150" s="166"/>
      <c r="K150" s="154"/>
      <c r="L150" s="102"/>
    </row>
    <row r="151" spans="1:12" s="114" customFormat="1" ht="19.5" customHeight="1">
      <c r="A151" s="148" t="s">
        <v>50</v>
      </c>
      <c r="B151" s="165">
        <f>254700.8-6471.6</f>
        <v>248229.19999999998</v>
      </c>
      <c r="C151" s="149">
        <f>350771.5+40351.1-7680.5+12-588.3</f>
        <v>382865.8</v>
      </c>
      <c r="D151" s="150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</f>
        <v>145662.30000000002</v>
      </c>
      <c r="E151" s="151">
        <f>D151/D107*100</f>
        <v>57.48049517839943</v>
      </c>
      <c r="F151" s="152">
        <f t="shared" si="19"/>
        <v>58.680566186411596</v>
      </c>
      <c r="G151" s="152">
        <f t="shared" si="14"/>
        <v>38.04526285711599</v>
      </c>
      <c r="H151" s="153">
        <f t="shared" si="18"/>
        <v>102566.89999999997</v>
      </c>
      <c r="I151" s="153">
        <f>C151-D151</f>
        <v>237203.49999999997</v>
      </c>
      <c r="K151" s="154"/>
      <c r="L151" s="102"/>
    </row>
    <row r="152" spans="1:12" s="114" customFormat="1" ht="17.25">
      <c r="A152" s="108" t="s">
        <v>99</v>
      </c>
      <c r="B152" s="163">
        <v>28154.8</v>
      </c>
      <c r="C152" s="109">
        <v>42232</v>
      </c>
      <c r="D152" s="110">
        <f>819+819+819.1+1062.3+1173.1+1173.1+1173.2+1173.1+1173.1+1173.2+1173.1+1173.1+1173.2+1173.1+1173.1+1173.1+1173.1+1173.1+1173.1+1173.1+1173.1+1173.1+1173.1</f>
        <v>25808.59999999999</v>
      </c>
      <c r="E152" s="113">
        <f>D152/D107*100</f>
        <v>10.184454782474523</v>
      </c>
      <c r="F152" s="100">
        <f t="shared" si="17"/>
        <v>91.66678505974112</v>
      </c>
      <c r="G152" s="100">
        <f t="shared" si="14"/>
        <v>61.11147944686491</v>
      </c>
      <c r="H152" s="101">
        <f t="shared" si="18"/>
        <v>2346.200000000008</v>
      </c>
      <c r="I152" s="101">
        <f t="shared" si="16"/>
        <v>16423.40000000001</v>
      </c>
      <c r="K152" s="154"/>
      <c r="L152" s="102"/>
    </row>
    <row r="153" spans="1:12" s="2" customFormat="1" ht="18" thickBot="1">
      <c r="A153" s="29" t="s">
        <v>29</v>
      </c>
      <c r="B153" s="164"/>
      <c r="C153" s="64"/>
      <c r="D153" s="45">
        <f>D43+D69+D72+D77+D79+D87+D102+D107+D100+D84+D98</f>
        <v>262462.5</v>
      </c>
      <c r="E153" s="15"/>
      <c r="F153" s="15"/>
      <c r="G153" s="6"/>
      <c r="H153" s="53"/>
      <c r="I153" s="45"/>
      <c r="K153" s="154"/>
      <c r="L153" s="33"/>
    </row>
    <row r="154" spans="1:12" ht="18" thickBot="1">
      <c r="A154" s="12" t="s">
        <v>18</v>
      </c>
      <c r="B154" s="41">
        <f>B6+B18+B33+B43+B51+B59+B69+B72+B77+B79+B87+B90+B95+B102+B107+B100+B84+B98+B45</f>
        <v>1441017.9</v>
      </c>
      <c r="C154" s="41">
        <f>C6+C18+C33+C43+C51+C59+C69+C72+C77+C79+C87+C90+C95+C102+C107+C100+C84+C98+C45</f>
        <v>2166335.3999999994</v>
      </c>
      <c r="D154" s="41">
        <f>D6+D18+D33+D43+D51+D59+D69+D72+D77+D79+D87+D90+D95+D102+D107+D100+D84+D98+D45</f>
        <v>1197791.1</v>
      </c>
      <c r="E154" s="28">
        <v>100</v>
      </c>
      <c r="F154" s="3">
        <f>D154/B154*100</f>
        <v>83.12118121502864</v>
      </c>
      <c r="G154" s="3">
        <f aca="true" t="shared" si="20" ref="G154:G160">D154/C154*100</f>
        <v>55.291119740738225</v>
      </c>
      <c r="H154" s="41">
        <f aca="true" t="shared" si="21" ref="H154:H160">B154-D154</f>
        <v>243226.7999999998</v>
      </c>
      <c r="I154" s="41">
        <f aca="true" t="shared" si="22" ref="I154:I160">C154-D154</f>
        <v>968544.2999999993</v>
      </c>
      <c r="K154" s="156">
        <f>D154-751574.4-254427.6-132352.6+0.9</f>
        <v>59437.40000000006</v>
      </c>
      <c r="L154" s="34"/>
    </row>
    <row r="155" spans="1:12" ht="17.25">
      <c r="A155" s="16" t="s">
        <v>5</v>
      </c>
      <c r="B155" s="52">
        <f>B8+B20+B34+B52+B60+B91+B115+B120+B46+B142+B133+B103</f>
        <v>609235.7</v>
      </c>
      <c r="C155" s="52">
        <f>C8+C20+C34+C52+C60+C91+C115+C120+C46+C142+C133+C103</f>
        <v>896180.8</v>
      </c>
      <c r="D155" s="52">
        <f>D8+D20+D34+D52+D60+D91+D115+D120+D46+D142+D133+D103</f>
        <v>553781.8099999999</v>
      </c>
      <c r="E155" s="6">
        <f>D155/D154*100</f>
        <v>46.23358864496488</v>
      </c>
      <c r="F155" s="6">
        <f aca="true" t="shared" si="23" ref="F155:F160">D155/B155*100</f>
        <v>90.89779374386629</v>
      </c>
      <c r="G155" s="6">
        <f t="shared" si="20"/>
        <v>61.7935365274507</v>
      </c>
      <c r="H155" s="53">
        <f t="shared" si="21"/>
        <v>55453.890000000014</v>
      </c>
      <c r="I155" s="63">
        <f t="shared" si="22"/>
        <v>342398.9900000001</v>
      </c>
      <c r="K155" s="154"/>
      <c r="L155" s="34"/>
    </row>
    <row r="156" spans="1:12" ht="17.25">
      <c r="A156" s="16" t="s">
        <v>0</v>
      </c>
      <c r="B156" s="53">
        <f>B11+B23+B36+B55+B62+B92+B49+B143+B109+B112+B96+B140+B129</f>
        <v>67664.69999999998</v>
      </c>
      <c r="C156" s="53">
        <f>C11+C23+C36+C55+C62+C92+C49+C143+C109+C112+C96+C140+C129</f>
        <v>110563.99999999999</v>
      </c>
      <c r="D156" s="53">
        <f>D11+D23+D36+D55+D62+D92+D49+D143+D109+D112+D96+D140+D129</f>
        <v>63884.39999999998</v>
      </c>
      <c r="E156" s="6">
        <f>D156/D154*100</f>
        <v>5.3335176726559395</v>
      </c>
      <c r="F156" s="6">
        <f t="shared" si="23"/>
        <v>94.41318737835238</v>
      </c>
      <c r="G156" s="6">
        <f t="shared" si="20"/>
        <v>57.78047103939799</v>
      </c>
      <c r="H156" s="53">
        <f>B156-D156</f>
        <v>3780.300000000003</v>
      </c>
      <c r="I156" s="63">
        <f t="shared" si="22"/>
        <v>46679.600000000006</v>
      </c>
      <c r="K156" s="154"/>
      <c r="L156" s="70"/>
    </row>
    <row r="157" spans="1:12" ht="17.25">
      <c r="A157" s="16" t="s">
        <v>1</v>
      </c>
      <c r="B157" s="52">
        <f>B22+B10+B54+B48+B61+B35+B124</f>
        <v>28350.006</v>
      </c>
      <c r="C157" s="52">
        <f>C22+C10+C54+C48+C61+C35+C124</f>
        <v>45948.3</v>
      </c>
      <c r="D157" s="52">
        <f>D22+D10+D54+D48+D61+D35+D124</f>
        <v>19716.199999999997</v>
      </c>
      <c r="E157" s="6">
        <f>D157/D154*100</f>
        <v>1.646046626995308</v>
      </c>
      <c r="F157" s="6">
        <f t="shared" si="23"/>
        <v>69.54566429368656</v>
      </c>
      <c r="G157" s="6">
        <f t="shared" si="20"/>
        <v>42.90953092932708</v>
      </c>
      <c r="H157" s="53">
        <f t="shared" si="21"/>
        <v>8633.806000000004</v>
      </c>
      <c r="I157" s="63">
        <f t="shared" si="22"/>
        <v>26232.100000000006</v>
      </c>
      <c r="K157" s="154"/>
      <c r="L157" s="34"/>
    </row>
    <row r="158" spans="1:12" ht="21" customHeight="1">
      <c r="A158" s="16" t="s">
        <v>14</v>
      </c>
      <c r="B158" s="52">
        <f>B12+B24+B104+B63+B38+B93+B131+B56+B138+B118</f>
        <v>22512.600000000002</v>
      </c>
      <c r="C158" s="52">
        <f>C12+C24+C104+C63+C38+C93+C131+C56+C138+C118</f>
        <v>30229.899999999998</v>
      </c>
      <c r="D158" s="52">
        <f>D12+D24+D104+D63+D38+D93+D131+D56+D138+D118</f>
        <v>16371.100000000004</v>
      </c>
      <c r="E158" s="6">
        <f>D158/D154*100</f>
        <v>1.3667742229842919</v>
      </c>
      <c r="F158" s="6">
        <f t="shared" si="23"/>
        <v>72.7197214004602</v>
      </c>
      <c r="G158" s="6">
        <f t="shared" si="20"/>
        <v>54.155323041095095</v>
      </c>
      <c r="H158" s="53">
        <f>B158-D158</f>
        <v>6141.499999999998</v>
      </c>
      <c r="I158" s="63">
        <f t="shared" si="22"/>
        <v>13858.799999999994</v>
      </c>
      <c r="K158" s="154"/>
      <c r="L158" s="70"/>
    </row>
    <row r="159" spans="1:12" ht="17.25">
      <c r="A159" s="16" t="s">
        <v>2</v>
      </c>
      <c r="B159" s="52">
        <f>B9+B21+B47+B53+B123</f>
        <v>31.558</v>
      </c>
      <c r="C159" s="52">
        <f>C9+C21+C47+C53+C123</f>
        <v>113.10000000000001</v>
      </c>
      <c r="D159" s="52">
        <f>D9+D21+D47+D53+D123</f>
        <v>21.3</v>
      </c>
      <c r="E159" s="6">
        <f>D159/D154*100</f>
        <v>0.0017782733566813111</v>
      </c>
      <c r="F159" s="6">
        <f t="shared" si="23"/>
        <v>67.49477153178275</v>
      </c>
      <c r="G159" s="6">
        <f t="shared" si="20"/>
        <v>18.83289124668435</v>
      </c>
      <c r="H159" s="53">
        <f t="shared" si="21"/>
        <v>10.258</v>
      </c>
      <c r="I159" s="63">
        <f t="shared" si="22"/>
        <v>91.80000000000001</v>
      </c>
      <c r="K159" s="154"/>
      <c r="L159" s="34"/>
    </row>
    <row r="160" spans="1:12" ht="18" thickBot="1">
      <c r="A160" s="89" t="s">
        <v>27</v>
      </c>
      <c r="B160" s="65">
        <f>B154-B155-B156-B157-B158-B159</f>
        <v>713223.336</v>
      </c>
      <c r="C160" s="65">
        <f>C154-C155-C156-C157-C158-C159</f>
        <v>1083299.2999999993</v>
      </c>
      <c r="D160" s="65">
        <f>D154-D155-D156-D157-D158-D159</f>
        <v>544016.2900000002</v>
      </c>
      <c r="E160" s="31">
        <f>D160/D154*100</f>
        <v>45.4182945590429</v>
      </c>
      <c r="F160" s="31">
        <f t="shared" si="23"/>
        <v>76.27572774764063</v>
      </c>
      <c r="G160" s="31">
        <f t="shared" si="20"/>
        <v>50.218465940114655</v>
      </c>
      <c r="H160" s="90">
        <f t="shared" si="21"/>
        <v>169207.04599999986</v>
      </c>
      <c r="I160" s="90">
        <f t="shared" si="22"/>
        <v>539283.0099999992</v>
      </c>
      <c r="K160" s="154"/>
      <c r="L160" s="70"/>
    </row>
    <row r="161" spans="7:8" ht="12.75">
      <c r="G161" s="18"/>
      <c r="H161" s="18"/>
    </row>
    <row r="162" spans="3:11" ht="12.75">
      <c r="C162" s="154"/>
      <c r="G162" s="18"/>
      <c r="H162" s="18"/>
      <c r="I162" s="18"/>
      <c r="K162" s="96"/>
    </row>
    <row r="163" spans="7:11" ht="12.75">
      <c r="G163" s="18"/>
      <c r="H163" s="18"/>
      <c r="K163" s="96"/>
    </row>
    <row r="164" spans="7:11" ht="12.75">
      <c r="G164" s="18"/>
      <c r="H164" s="18"/>
      <c r="K164" s="96"/>
    </row>
    <row r="165" spans="4:8" ht="12.75">
      <c r="D165" s="154"/>
      <c r="G165" s="18"/>
      <c r="H165" s="18"/>
    </row>
    <row r="166" spans="2:8" ht="12.75">
      <c r="B166" s="157"/>
      <c r="C166" s="158"/>
      <c r="G166" s="18"/>
      <c r="H166" s="18"/>
    </row>
    <row r="167" spans="2:8" ht="12.75">
      <c r="B167" s="93"/>
      <c r="C167" s="93"/>
      <c r="D167" s="93"/>
      <c r="G167" s="18"/>
      <c r="H167" s="18"/>
    </row>
    <row r="168" spans="2:8" ht="12.75">
      <c r="B168" s="93"/>
      <c r="G168" s="18"/>
      <c r="H168" s="18"/>
    </row>
    <row r="169" spans="2:8" ht="12.75">
      <c r="B169" s="93"/>
      <c r="C169" s="154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4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фінансування'!C154</f>
        <v>2166335.3999999994</v>
      </c>
    </row>
    <row r="2" spans="1:5" ht="15">
      <c r="A2" s="4"/>
      <c r="B2" s="4"/>
      <c r="C2" s="4"/>
      <c r="D2" s="4" t="s">
        <v>31</v>
      </c>
      <c r="E2" s="5">
        <f>'аналіз фінансування'!D154</f>
        <v>1197791.1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фінансування'!C154</f>
        <v>2166335.3999999994</v>
      </c>
    </row>
    <row r="2" spans="1:5" ht="15">
      <c r="A2" s="4"/>
      <c r="B2" s="4"/>
      <c r="C2" s="4"/>
      <c r="D2" s="4" t="s">
        <v>31</v>
      </c>
      <c r="E2" s="5">
        <f>'аналіз фінансування'!D154</f>
        <v>1197791.1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2018-08-10T09:57:26Z</cp:lastPrinted>
  <dcterms:created xsi:type="dcterms:W3CDTF">2000-06-20T04:48:00Z</dcterms:created>
  <dcterms:modified xsi:type="dcterms:W3CDTF">2018-08-17T12:29:25Z</dcterms:modified>
  <cp:category/>
  <cp:version/>
  <cp:contentType/>
  <cp:contentStatus/>
</cp:coreProperties>
</file>